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lanDesarrollo 2020-2023\Plan indicativo\2020-2023\"/>
    </mc:Choice>
  </mc:AlternateContent>
  <xr:revisionPtr revIDLastSave="0" documentId="8_{A4365030-AA5B-4EA2-BEB1-9572B804D5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1" sheetId="21" r:id="rId1"/>
    <sheet name="52" sheetId="24" r:id="rId2"/>
    <sheet name="53" sheetId="25" r:id="rId3"/>
    <sheet name="54" sheetId="26" r:id="rId4"/>
    <sheet name="Descripcion Cuadro" sheetId="23" r:id="rId5"/>
  </sheets>
  <externalReferences>
    <externalReference r:id="rId6"/>
    <externalReference r:id="rId7"/>
    <externalReference r:id="rId8"/>
  </externalReferences>
  <definedNames>
    <definedName name="_xlnm._FilterDatabase" localSheetId="0" hidden="1">'51'!$E$6:$Z$7</definedName>
    <definedName name="datos">[1]PUERTOCARREÑO!$C$36:$C$40,[1]PUERTOCARREÑO!$D$85:$D$87,[1]PUERTOCARREÑO!$C$92:$C$96,[1]PUERTOCARREÑO!$C$99:$C$103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26" l="1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70" i="26"/>
  <c r="H69" i="26"/>
  <c r="H66" i="26"/>
  <c r="H65" i="26"/>
  <c r="H64" i="26"/>
  <c r="H63" i="26"/>
  <c r="H62" i="26"/>
  <c r="H61" i="26"/>
  <c r="H58" i="26"/>
  <c r="H57" i="26"/>
  <c r="H56" i="26"/>
  <c r="H54" i="26"/>
  <c r="H53" i="26"/>
  <c r="H52" i="26"/>
  <c r="H50" i="26"/>
  <c r="H47" i="26"/>
  <c r="H45" i="26"/>
  <c r="H43" i="26"/>
  <c r="H41" i="26"/>
  <c r="H40" i="26"/>
  <c r="H39" i="26"/>
  <c r="H37" i="26"/>
  <c r="H36" i="26"/>
  <c r="H35" i="26"/>
  <c r="H34" i="26"/>
  <c r="H33" i="26"/>
  <c r="H32" i="26"/>
  <c r="H31" i="26"/>
  <c r="H30" i="26"/>
  <c r="H29" i="26"/>
  <c r="H28" i="26"/>
  <c r="H27" i="26"/>
  <c r="H19" i="26"/>
  <c r="H18" i="26"/>
  <c r="H17" i="26"/>
  <c r="H16" i="26"/>
  <c r="H14" i="26"/>
  <c r="H13" i="26"/>
  <c r="H12" i="26"/>
  <c r="H11" i="26"/>
  <c r="H10" i="26"/>
  <c r="H9" i="26"/>
  <c r="H8" i="26"/>
  <c r="H171" i="25"/>
  <c r="H170" i="25"/>
  <c r="H168" i="25"/>
  <c r="H167" i="25"/>
  <c r="H166" i="25"/>
  <c r="H165" i="25"/>
  <c r="H163" i="25"/>
  <c r="H162" i="25"/>
  <c r="H161" i="25"/>
  <c r="H160" i="25"/>
  <c r="H158" i="25"/>
  <c r="H157" i="25"/>
  <c r="H156" i="25"/>
  <c r="H155" i="25"/>
  <c r="H154" i="25"/>
  <c r="H153" i="25"/>
  <c r="H281" i="24"/>
  <c r="H280" i="24"/>
  <c r="H279" i="24"/>
  <c r="H278" i="24"/>
  <c r="H277" i="24"/>
  <c r="H274" i="24"/>
  <c r="H273" i="24"/>
  <c r="H228" i="24"/>
  <c r="H227" i="24"/>
  <c r="H226" i="24"/>
  <c r="H225" i="24"/>
  <c r="H224" i="24"/>
  <c r="H223" i="24"/>
  <c r="H222" i="24"/>
  <c r="H221" i="24"/>
  <c r="H219" i="24"/>
  <c r="H217" i="24"/>
  <c r="H204" i="24"/>
  <c r="H203" i="24"/>
  <c r="H202" i="24"/>
  <c r="H201" i="24"/>
  <c r="H200" i="24"/>
  <c r="H187" i="24"/>
  <c r="H186" i="24"/>
  <c r="H27" i="24"/>
  <c r="H28" i="24"/>
  <c r="H33" i="24"/>
  <c r="H30" i="24"/>
  <c r="H25" i="24"/>
  <c r="H24" i="24"/>
  <c r="H31" i="21"/>
  <c r="H10" i="21"/>
  <c r="Z125" i="25"/>
  <c r="Z124" i="25"/>
  <c r="Z77" i="25"/>
  <c r="Z236" i="24"/>
  <c r="H23" i="26"/>
  <c r="H22" i="26"/>
  <c r="H21" i="26"/>
  <c r="H20" i="26"/>
  <c r="H95" i="26"/>
  <c r="H92" i="26"/>
  <c r="H90" i="26"/>
  <c r="H83" i="26"/>
  <c r="H74" i="26"/>
  <c r="H126" i="26"/>
  <c r="H125" i="26"/>
  <c r="H124" i="26"/>
  <c r="H123" i="26"/>
  <c r="H122" i="26"/>
  <c r="H121" i="26"/>
  <c r="H117" i="26"/>
  <c r="H116" i="26"/>
  <c r="H140" i="26"/>
  <c r="H139" i="26"/>
  <c r="H138" i="26"/>
  <c r="H137" i="26"/>
  <c r="H136" i="26"/>
  <c r="H133" i="26"/>
  <c r="H132" i="26"/>
  <c r="H130" i="26"/>
  <c r="H129" i="26"/>
  <c r="H128" i="26"/>
  <c r="H147" i="26"/>
  <c r="H146" i="26"/>
  <c r="H144" i="26"/>
  <c r="H143" i="26"/>
  <c r="H142" i="26"/>
  <c r="H141" i="26"/>
  <c r="H14" i="25"/>
  <c r="H9" i="25"/>
  <c r="H18" i="25"/>
  <c r="H17" i="25"/>
  <c r="H16" i="25"/>
  <c r="H15" i="25"/>
  <c r="H29" i="25"/>
  <c r="H28" i="25"/>
  <c r="H26" i="25"/>
  <c r="H25" i="25"/>
  <c r="H23" i="25"/>
  <c r="H21" i="25"/>
  <c r="H20" i="25"/>
  <c r="H19" i="25"/>
  <c r="H37" i="25"/>
  <c r="H36" i="25"/>
  <c r="H35" i="25"/>
  <c r="H34" i="25"/>
  <c r="H32" i="25"/>
  <c r="H30" i="25"/>
  <c r="H50" i="25"/>
  <c r="H46" i="25"/>
  <c r="H45" i="25"/>
  <c r="H44" i="25"/>
  <c r="H42" i="25"/>
  <c r="H39" i="25"/>
  <c r="H54" i="25"/>
  <c r="H53" i="25"/>
  <c r="H52" i="25"/>
  <c r="H51" i="25"/>
  <c r="H64" i="25"/>
  <c r="H63" i="25"/>
  <c r="H61" i="25"/>
  <c r="H58" i="25"/>
  <c r="H56" i="25"/>
  <c r="H77" i="25"/>
  <c r="H76" i="25"/>
  <c r="H75" i="25"/>
  <c r="H72" i="25"/>
  <c r="H71" i="25"/>
  <c r="H70" i="25"/>
  <c r="H69" i="25"/>
  <c r="H68" i="25"/>
  <c r="H67" i="25"/>
  <c r="H83" i="25"/>
  <c r="H82" i="25"/>
  <c r="H81" i="25"/>
  <c r="H80" i="25"/>
  <c r="H79" i="25"/>
  <c r="H97" i="25"/>
  <c r="H96" i="25"/>
  <c r="H95" i="25"/>
  <c r="H94" i="25"/>
  <c r="H93" i="25"/>
  <c r="H92" i="25"/>
  <c r="H91" i="25"/>
  <c r="H90" i="25"/>
  <c r="H104" i="25"/>
  <c r="H102" i="25"/>
  <c r="H110" i="25"/>
  <c r="H109" i="25"/>
  <c r="H108" i="25"/>
  <c r="H107" i="25"/>
  <c r="H106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31" i="25"/>
  <c r="H129" i="25"/>
  <c r="H128" i="25"/>
  <c r="H127" i="25"/>
  <c r="H126" i="25"/>
  <c r="H125" i="25"/>
  <c r="H124" i="25"/>
  <c r="H143" i="25"/>
  <c r="H139" i="25"/>
  <c r="H137" i="25"/>
  <c r="H136" i="25"/>
  <c r="H134" i="25"/>
  <c r="H133" i="25"/>
  <c r="H132" i="25"/>
  <c r="H152" i="25"/>
  <c r="H151" i="25"/>
  <c r="H150" i="25"/>
  <c r="H149" i="25"/>
  <c r="H148" i="25"/>
  <c r="H145" i="25"/>
  <c r="H175" i="25"/>
  <c r="H174" i="25"/>
  <c r="H173" i="25"/>
  <c r="H49" i="24"/>
  <c r="H48" i="24"/>
  <c r="H47" i="24"/>
  <c r="H46" i="24"/>
  <c r="H44" i="24"/>
  <c r="H43" i="24"/>
  <c r="H42" i="24"/>
  <c r="H70" i="24"/>
  <c r="H69" i="24"/>
  <c r="H64" i="24"/>
  <c r="H63" i="24"/>
  <c r="H62" i="24"/>
  <c r="H61" i="24"/>
  <c r="H60" i="24"/>
  <c r="H59" i="24"/>
  <c r="H58" i="24"/>
  <c r="H55" i="24"/>
  <c r="H54" i="24"/>
  <c r="H53" i="24"/>
  <c r="H52" i="24"/>
  <c r="H50" i="24"/>
  <c r="H82" i="24"/>
  <c r="H81" i="24"/>
  <c r="H80" i="24"/>
  <c r="H79" i="24"/>
  <c r="H78" i="24"/>
  <c r="H77" i="24"/>
  <c r="H76" i="24"/>
  <c r="H75" i="24"/>
  <c r="H74" i="24"/>
  <c r="H73" i="24"/>
  <c r="H72" i="24"/>
  <c r="H90" i="24"/>
  <c r="H89" i="24"/>
  <c r="H88" i="24"/>
  <c r="H85" i="24"/>
  <c r="H84" i="24"/>
  <c r="H100" i="24"/>
  <c r="H98" i="24"/>
  <c r="H96" i="24"/>
  <c r="H95" i="24"/>
  <c r="H94" i="24"/>
  <c r="H93" i="24"/>
  <c r="H110" i="24"/>
  <c r="H109" i="24"/>
  <c r="H108" i="24"/>
  <c r="H107" i="24"/>
  <c r="H106" i="24"/>
  <c r="H104" i="24"/>
  <c r="H103" i="24"/>
  <c r="H102" i="24"/>
  <c r="H101" i="24"/>
  <c r="H117" i="24"/>
  <c r="H115" i="24"/>
  <c r="H114" i="24"/>
  <c r="H113" i="24"/>
  <c r="H111" i="24"/>
  <c r="H125" i="24"/>
  <c r="H124" i="24"/>
  <c r="H122" i="24"/>
  <c r="H120" i="24"/>
  <c r="H119" i="24"/>
  <c r="H133" i="24"/>
  <c r="H132" i="24"/>
  <c r="H131" i="24"/>
  <c r="H130" i="24"/>
  <c r="H129" i="24"/>
  <c r="H128" i="24"/>
  <c r="H127" i="24"/>
  <c r="H126" i="24"/>
  <c r="H137" i="24"/>
  <c r="H136" i="24"/>
  <c r="H134" i="24"/>
  <c r="H148" i="24"/>
  <c r="H147" i="24"/>
  <c r="H146" i="24"/>
  <c r="H145" i="24"/>
  <c r="H144" i="24"/>
  <c r="H143" i="24"/>
  <c r="H154" i="24"/>
  <c r="H153" i="24"/>
  <c r="H152" i="24"/>
  <c r="H151" i="24"/>
  <c r="H150" i="24"/>
  <c r="H149" i="24"/>
  <c r="H170" i="24"/>
  <c r="H169" i="24"/>
  <c r="H168" i="24"/>
  <c r="H167" i="24"/>
  <c r="H166" i="24"/>
  <c r="H164" i="24"/>
  <c r="H162" i="24"/>
  <c r="H160" i="24"/>
  <c r="H159" i="24"/>
  <c r="H157" i="24"/>
  <c r="H178" i="24"/>
  <c r="H177" i="24"/>
  <c r="H175" i="24"/>
  <c r="H174" i="24"/>
  <c r="H173" i="24"/>
  <c r="H189" i="24"/>
  <c r="H188" i="24"/>
  <c r="H199" i="24"/>
  <c r="H198" i="24"/>
  <c r="H195" i="24"/>
  <c r="H194" i="24"/>
  <c r="H192" i="24"/>
  <c r="H191" i="24"/>
  <c r="H216" i="24"/>
  <c r="H215" i="24"/>
  <c r="H214" i="24"/>
  <c r="H213" i="24"/>
  <c r="H212" i="24"/>
  <c r="H211" i="24"/>
  <c r="H210" i="24"/>
  <c r="H209" i="24"/>
  <c r="H208" i="24"/>
  <c r="H207" i="24"/>
  <c r="H206" i="24"/>
  <c r="H205" i="24"/>
  <c r="H238" i="24"/>
  <c r="H237" i="24"/>
  <c r="H235" i="24"/>
  <c r="H234" i="24"/>
  <c r="H233" i="24"/>
  <c r="H232" i="24"/>
  <c r="H231" i="24"/>
  <c r="H230" i="24"/>
  <c r="H229" i="24"/>
  <c r="H253" i="24"/>
  <c r="H251" i="24"/>
  <c r="H250" i="24"/>
  <c r="H249" i="24"/>
  <c r="H256" i="24"/>
  <c r="H254" i="24"/>
  <c r="H255" i="24"/>
  <c r="H259" i="24"/>
  <c r="H258" i="24"/>
  <c r="H257" i="24"/>
  <c r="H263" i="24"/>
  <c r="H262" i="24"/>
  <c r="H261" i="24"/>
  <c r="H260" i="24"/>
  <c r="H268" i="24"/>
  <c r="H267" i="24"/>
  <c r="H266" i="24"/>
  <c r="H265" i="24"/>
  <c r="H298" i="24"/>
  <c r="H296" i="24"/>
  <c r="H293" i="24"/>
  <c r="H292" i="24"/>
  <c r="H288" i="24"/>
  <c r="H287" i="24"/>
  <c r="H283" i="24"/>
  <c r="H282" i="24"/>
  <c r="H40" i="24"/>
  <c r="H39" i="24"/>
  <c r="H38" i="24"/>
  <c r="H37" i="24"/>
  <c r="H36" i="24"/>
  <c r="H35" i="24"/>
  <c r="H34" i="24"/>
  <c r="H32" i="24"/>
  <c r="H29" i="24"/>
  <c r="H26" i="24"/>
  <c r="H130" i="21"/>
  <c r="H129" i="21"/>
  <c r="H127" i="21"/>
  <c r="H126" i="21"/>
  <c r="H125" i="21"/>
  <c r="H124" i="21"/>
  <c r="H123" i="21"/>
  <c r="H122" i="21"/>
  <c r="H121" i="21"/>
  <c r="H120" i="21"/>
  <c r="H118" i="21"/>
  <c r="H117" i="21"/>
  <c r="H116" i="21"/>
  <c r="H115" i="21"/>
  <c r="H113" i="21"/>
  <c r="H111" i="21"/>
  <c r="H110" i="21"/>
  <c r="H109" i="21"/>
  <c r="H108" i="21"/>
  <c r="H107" i="21"/>
  <c r="H106" i="21"/>
  <c r="H105" i="21"/>
  <c r="H96" i="21"/>
  <c r="H92" i="21"/>
  <c r="H91" i="21"/>
  <c r="H89" i="21"/>
  <c r="H87" i="21"/>
  <c r="H85" i="21"/>
  <c r="H84" i="21"/>
  <c r="H83" i="21"/>
  <c r="H81" i="21"/>
  <c r="H80" i="21"/>
  <c r="H79" i="21"/>
  <c r="H78" i="21"/>
  <c r="H77" i="21"/>
  <c r="H75" i="21"/>
  <c r="H70" i="21"/>
  <c r="H71" i="21"/>
  <c r="H68" i="21"/>
  <c r="H69" i="21"/>
  <c r="H72" i="21"/>
  <c r="H56" i="21"/>
  <c r="H55" i="21"/>
  <c r="H51" i="21"/>
  <c r="H49" i="21"/>
  <c r="H48" i="21"/>
  <c r="H47" i="21"/>
  <c r="H45" i="21"/>
  <c r="H42" i="21"/>
  <c r="H41" i="21"/>
  <c r="H40" i="21"/>
  <c r="H39" i="21"/>
  <c r="H38" i="21"/>
  <c r="H37" i="21"/>
  <c r="H35" i="21"/>
  <c r="H33" i="21"/>
  <c r="H28" i="21"/>
  <c r="H27" i="21"/>
  <c r="H26" i="21"/>
  <c r="H25" i="21"/>
  <c r="H24" i="21"/>
  <c r="H23" i="21"/>
  <c r="H22" i="21"/>
  <c r="H17" i="21"/>
  <c r="H16" i="21"/>
  <c r="H15" i="21"/>
  <c r="H14" i="21"/>
  <c r="H13" i="21"/>
  <c r="H12" i="21"/>
  <c r="H11" i="21"/>
  <c r="H9" i="21"/>
  <c r="H8" i="21"/>
  <c r="G17" i="26" l="1"/>
  <c r="G12" i="26"/>
  <c r="G296" i="24" l="1"/>
  <c r="G282" i="24"/>
  <c r="G283" i="24"/>
  <c r="G53" i="21"/>
  <c r="G52" i="21"/>
  <c r="G49" i="21"/>
  <c r="G47" i="21"/>
  <c r="G46" i="21"/>
  <c r="G31" i="21"/>
  <c r="G27" i="21"/>
  <c r="G25" i="21"/>
  <c r="G24" i="21"/>
  <c r="G23" i="21"/>
  <c r="G22" i="21"/>
  <c r="G21" i="21"/>
  <c r="G20" i="21"/>
  <c r="G18" i="21"/>
  <c r="G10" i="21"/>
  <c r="G8" i="21"/>
  <c r="G172" i="25" l="1"/>
  <c r="G171" i="25"/>
  <c r="G170" i="25"/>
  <c r="G169" i="25"/>
  <c r="G166" i="25"/>
  <c r="G165" i="25"/>
  <c r="G162" i="25"/>
  <c r="G161" i="25"/>
  <c r="G160" i="25"/>
  <c r="G159" i="25"/>
  <c r="G158" i="25"/>
  <c r="G157" i="25"/>
  <c r="G156" i="25"/>
  <c r="G155" i="25"/>
  <c r="G154" i="25"/>
  <c r="G184" i="24"/>
  <c r="G183" i="24"/>
  <c r="G182" i="24"/>
  <c r="G181" i="24"/>
  <c r="G180" i="24"/>
  <c r="G179" i="24"/>
  <c r="AE182" i="24"/>
  <c r="G40" i="26"/>
  <c r="G59" i="26"/>
  <c r="G23" i="26"/>
  <c r="G22" i="26"/>
  <c r="G21" i="26"/>
  <c r="G20" i="26"/>
  <c r="G16" i="26"/>
  <c r="G18" i="26"/>
  <c r="G15" i="26"/>
  <c r="G11" i="26"/>
  <c r="G76" i="25"/>
  <c r="G75" i="25"/>
  <c r="G74" i="25"/>
  <c r="G73" i="25"/>
  <c r="G65" i="25"/>
  <c r="G66" i="25"/>
  <c r="G72" i="25"/>
  <c r="G102" i="25"/>
  <c r="G104" i="25"/>
  <c r="G103" i="25"/>
  <c r="G134" i="25"/>
  <c r="G139" i="25"/>
  <c r="G64" i="25"/>
  <c r="G61" i="25"/>
  <c r="G62" i="25"/>
  <c r="G57" i="25"/>
  <c r="G60" i="25"/>
  <c r="H240" i="24"/>
  <c r="H244" i="24"/>
  <c r="H239" i="24"/>
  <c r="G224" i="24"/>
  <c r="G221" i="24"/>
  <c r="G207" i="24"/>
  <c r="G213" i="24"/>
  <c r="G206" i="24"/>
  <c r="G210" i="24"/>
  <c r="G134" i="24"/>
  <c r="G136" i="24"/>
  <c r="G135" i="24"/>
  <c r="G122" i="24"/>
  <c r="G124" i="24"/>
  <c r="G123" i="24"/>
  <c r="G121" i="24"/>
  <c r="G114" i="24"/>
  <c r="G115" i="24"/>
  <c r="G111" i="24"/>
  <c r="G113" i="24"/>
  <c r="AE193" i="24" l="1"/>
  <c r="G127" i="21"/>
  <c r="G129" i="21"/>
  <c r="G125" i="21"/>
  <c r="G128" i="21"/>
  <c r="G120" i="21"/>
  <c r="G118" i="21"/>
  <c r="G113" i="21"/>
  <c r="G111" i="21"/>
  <c r="G105" i="21"/>
  <c r="G107" i="21"/>
  <c r="G104" i="21"/>
  <c r="G100" i="21"/>
  <c r="G101" i="21"/>
  <c r="G103" i="21"/>
  <c r="G68" i="21" l="1"/>
  <c r="G69" i="21"/>
  <c r="H184" i="24"/>
  <c r="H180" i="24"/>
  <c r="H182" i="24"/>
  <c r="H179" i="24"/>
  <c r="H181" i="24"/>
  <c r="H61" i="21"/>
  <c r="H60" i="21"/>
  <c r="H59" i="21"/>
  <c r="G55" i="25"/>
  <c r="G126" i="21" l="1"/>
  <c r="G123" i="21"/>
  <c r="G122" i="21"/>
  <c r="G121" i="21"/>
  <c r="G117" i="21"/>
  <c r="G116" i="21"/>
  <c r="G115" i="21"/>
  <c r="G114" i="21"/>
  <c r="G110" i="21"/>
  <c r="G109" i="21"/>
  <c r="G108" i="21"/>
  <c r="G72" i="21"/>
  <c r="G71" i="21"/>
  <c r="G67" i="21"/>
  <c r="G66" i="21"/>
  <c r="G65" i="21"/>
  <c r="G64" i="21"/>
  <c r="G63" i="21"/>
  <c r="G61" i="21"/>
  <c r="G60" i="21"/>
  <c r="G59" i="21"/>
  <c r="G256" i="24"/>
  <c r="G254" i="24"/>
  <c r="G255" i="24"/>
  <c r="G253" i="24"/>
  <c r="G251" i="24"/>
  <c r="G249" i="24"/>
  <c r="G248" i="24"/>
  <c r="G238" i="24"/>
  <c r="G237" i="24"/>
  <c r="G236" i="24"/>
  <c r="G234" i="24"/>
  <c r="G233" i="24"/>
  <c r="G232" i="24"/>
  <c r="G231" i="24"/>
  <c r="G229" i="24"/>
  <c r="G228" i="24"/>
  <c r="G227" i="24"/>
  <c r="G226" i="24"/>
  <c r="G225" i="24"/>
  <c r="G223" i="24"/>
  <c r="G220" i="24"/>
  <c r="G218" i="24"/>
  <c r="G217" i="24"/>
  <c r="G216" i="24"/>
  <c r="G215" i="24"/>
  <c r="G214" i="24"/>
  <c r="G211" i="24"/>
  <c r="G209" i="24"/>
  <c r="G202" i="24"/>
  <c r="G201" i="24"/>
  <c r="G204" i="24"/>
  <c r="G203" i="24"/>
  <c r="G189" i="24"/>
  <c r="G188" i="24"/>
  <c r="G187" i="24"/>
  <c r="G186" i="24"/>
  <c r="G185" i="24"/>
  <c r="G172" i="24"/>
  <c r="G170" i="24"/>
  <c r="G169" i="24"/>
  <c r="G168" i="24"/>
  <c r="G167" i="24"/>
  <c r="G166" i="24"/>
  <c r="G164" i="24"/>
  <c r="G162" i="24"/>
  <c r="G158" i="24"/>
  <c r="G157" i="24"/>
  <c r="G156" i="24"/>
  <c r="G148" i="24"/>
  <c r="G147" i="24"/>
  <c r="G146" i="24"/>
  <c r="G145" i="24"/>
  <c r="G144" i="24"/>
  <c r="G143" i="24"/>
  <c r="G137" i="24"/>
  <c r="G132" i="24"/>
  <c r="G131" i="24"/>
  <c r="G130" i="24"/>
  <c r="G129" i="24"/>
  <c r="G128" i="24"/>
  <c r="G127" i="24"/>
  <c r="G126" i="24"/>
  <c r="G125" i="24"/>
  <c r="G120" i="24"/>
  <c r="G119" i="24"/>
  <c r="G118" i="24"/>
  <c r="G110" i="24"/>
  <c r="G107" i="24"/>
  <c r="G103" i="24"/>
  <c r="G102" i="24"/>
  <c r="G101" i="24"/>
  <c r="G82" i="24" l="1"/>
  <c r="G81" i="24"/>
  <c r="G78" i="24"/>
  <c r="G77" i="24"/>
  <c r="G76" i="24"/>
  <c r="G75" i="24"/>
  <c r="G73" i="24"/>
  <c r="G72" i="24"/>
  <c r="G69" i="24" l="1"/>
  <c r="G58" i="24"/>
  <c r="G57" i="24"/>
  <c r="G54" i="24"/>
  <c r="G49" i="24"/>
  <c r="G48" i="24"/>
  <c r="G47" i="24"/>
  <c r="G46" i="24"/>
  <c r="G45" i="24"/>
  <c r="G44" i="24"/>
  <c r="G43" i="24"/>
  <c r="G42" i="24"/>
  <c r="G33" i="24"/>
  <c r="G30" i="24"/>
  <c r="G29" i="24"/>
  <c r="G26" i="24"/>
  <c r="G25" i="24"/>
  <c r="G24" i="24"/>
  <c r="G23" i="24" l="1"/>
  <c r="G22" i="24"/>
  <c r="G17" i="24"/>
  <c r="G16" i="24"/>
  <c r="G15" i="24"/>
  <c r="G12" i="24"/>
  <c r="G11" i="24"/>
  <c r="G9" i="24"/>
  <c r="G152" i="25"/>
  <c r="G151" i="25"/>
  <c r="G150" i="25"/>
  <c r="G149" i="25"/>
  <c r="G148" i="25"/>
  <c r="G146" i="25"/>
  <c r="G145" i="25"/>
  <c r="G143" i="25"/>
  <c r="G141" i="25"/>
  <c r="G140" i="25"/>
  <c r="G135" i="25"/>
  <c r="G133" i="25"/>
  <c r="G132" i="25"/>
  <c r="G131" i="25"/>
  <c r="G130" i="25"/>
  <c r="G129" i="25"/>
  <c r="G128" i="25"/>
  <c r="G127" i="25"/>
  <c r="G126" i="25"/>
  <c r="G125" i="25"/>
  <c r="G124" i="25"/>
  <c r="G122" i="25"/>
  <c r="G121" i="25"/>
  <c r="G120" i="25"/>
  <c r="G117" i="25"/>
  <c r="G115" i="25"/>
  <c r="G114" i="25"/>
  <c r="G113" i="25"/>
  <c r="G111" i="25"/>
  <c r="G110" i="25"/>
  <c r="G109" i="25"/>
  <c r="G108" i="25"/>
  <c r="G107" i="25"/>
  <c r="G106" i="25"/>
  <c r="G105" i="25"/>
  <c r="G101" i="25"/>
  <c r="G97" i="25"/>
  <c r="G96" i="25"/>
  <c r="G95" i="25"/>
  <c r="G94" i="25"/>
  <c r="G93" i="25"/>
  <c r="G92" i="25"/>
  <c r="G91" i="25"/>
  <c r="G90" i="25"/>
  <c r="G83" i="25"/>
  <c r="G81" i="25"/>
  <c r="G80" i="25"/>
  <c r="G79" i="25"/>
  <c r="G71" i="25"/>
  <c r="G59" i="25"/>
  <c r="G56" i="25"/>
  <c r="G53" i="25"/>
  <c r="G54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7" i="25"/>
  <c r="G36" i="25"/>
  <c r="G35" i="25"/>
  <c r="G34" i="25"/>
  <c r="G31" i="25"/>
  <c r="G30" i="25"/>
  <c r="G29" i="25"/>
  <c r="G28" i="25"/>
  <c r="G25" i="25"/>
  <c r="G23" i="25"/>
  <c r="G21" i="25"/>
  <c r="G20" i="25"/>
  <c r="G17" i="25"/>
  <c r="G15" i="25"/>
  <c r="G16" i="25"/>
  <c r="G18" i="25"/>
  <c r="G126" i="26" l="1"/>
  <c r="G125" i="26"/>
  <c r="G123" i="26"/>
  <c r="G120" i="26"/>
  <c r="G118" i="26"/>
  <c r="G95" i="26"/>
  <c r="G92" i="26"/>
  <c r="G90" i="26"/>
  <c r="G88" i="26"/>
  <c r="G86" i="26"/>
  <c r="G84" i="26"/>
  <c r="G83" i="26"/>
  <c r="G74" i="26"/>
  <c r="G43" i="26"/>
  <c r="G31" i="26"/>
  <c r="G19" i="26"/>
  <c r="G14" i="26"/>
  <c r="G10" i="26"/>
  <c r="G9" i="26"/>
  <c r="G8" i="26"/>
  <c r="F107" i="21" l="1"/>
  <c r="F9" i="26" l="1"/>
  <c r="F14" i="26" l="1"/>
  <c r="F8" i="26"/>
  <c r="F11" i="26"/>
  <c r="F10" i="26"/>
  <c r="F19" i="26"/>
  <c r="F35" i="26"/>
  <c r="F43" i="26"/>
  <c r="F36" i="26"/>
  <c r="F32" i="26"/>
  <c r="F60" i="26" l="1"/>
  <c r="F59" i="26"/>
  <c r="F84" i="26"/>
  <c r="F85" i="26"/>
  <c r="F100" i="26"/>
  <c r="F108" i="26"/>
  <c r="F120" i="26"/>
  <c r="F116" i="26"/>
  <c r="F117" i="26"/>
  <c r="F118" i="26"/>
  <c r="F119" i="26"/>
  <c r="G136" i="26"/>
  <c r="G139" i="26"/>
  <c r="G137" i="26"/>
  <c r="F124" i="25"/>
  <c r="F127" i="25"/>
  <c r="F128" i="25"/>
  <c r="F150" i="25"/>
  <c r="F148" i="25"/>
  <c r="F145" i="25"/>
  <c r="F155" i="25"/>
  <c r="F154" i="25"/>
  <c r="F162" i="25"/>
  <c r="F169" i="25"/>
  <c r="F173" i="25"/>
  <c r="F174" i="25"/>
  <c r="F175" i="25"/>
  <c r="F105" i="25"/>
  <c r="F108" i="25"/>
  <c r="F109" i="25"/>
  <c r="F106" i="25"/>
  <c r="F61" i="25"/>
  <c r="F57" i="25"/>
  <c r="F36" i="25" l="1"/>
  <c r="F31" i="25"/>
  <c r="F34" i="25"/>
  <c r="F12" i="25"/>
  <c r="F13" i="25"/>
  <c r="F9" i="25"/>
  <c r="F11" i="25"/>
  <c r="F22" i="24"/>
  <c r="F15" i="24"/>
  <c r="F8" i="24"/>
  <c r="F13" i="24"/>
  <c r="F118" i="24"/>
  <c r="F119" i="24"/>
  <c r="F123" i="24"/>
  <c r="F124" i="24"/>
  <c r="F131" i="24"/>
  <c r="F130" i="24"/>
  <c r="F132" i="24"/>
  <c r="F167" i="24"/>
  <c r="F163" i="24"/>
  <c r="F160" i="24"/>
  <c r="F170" i="24"/>
  <c r="F216" i="24" l="1"/>
  <c r="F213" i="24"/>
  <c r="F241" i="24"/>
  <c r="F239" i="24"/>
  <c r="F244" i="24"/>
  <c r="F245" i="24"/>
  <c r="F242" i="24"/>
  <c r="F250" i="24"/>
  <c r="F249" i="24"/>
  <c r="F296" i="24"/>
  <c r="F283" i="24"/>
  <c r="F282" i="24"/>
  <c r="F293" i="24"/>
  <c r="F254" i="24"/>
  <c r="F255" i="24"/>
  <c r="F125" i="21"/>
  <c r="F127" i="21"/>
  <c r="F118" i="21"/>
  <c r="F117" i="21"/>
  <c r="F120" i="21"/>
  <c r="F119" i="21"/>
  <c r="F109" i="21"/>
  <c r="F105" i="21"/>
  <c r="F77" i="21"/>
  <c r="F81" i="21"/>
  <c r="F59" i="21"/>
  <c r="F63" i="21"/>
  <c r="F61" i="21"/>
  <c r="F60" i="21"/>
  <c r="H67" i="21"/>
  <c r="H66" i="21"/>
  <c r="H65" i="21"/>
  <c r="H64" i="21"/>
  <c r="F49" i="21" l="1"/>
  <c r="F50" i="21"/>
  <c r="F33" i="21"/>
  <c r="F57" i="21"/>
  <c r="G200" i="24" l="1"/>
  <c r="F105" i="26" l="1"/>
  <c r="F101" i="26"/>
  <c r="F107" i="26"/>
  <c r="F114" i="26"/>
  <c r="F115" i="26"/>
  <c r="F102" i="26"/>
  <c r="F106" i="26"/>
  <c r="F110" i="26"/>
  <c r="F112" i="26"/>
  <c r="F111" i="26"/>
  <c r="F99" i="26"/>
  <c r="F97" i="26"/>
  <c r="F96" i="26"/>
  <c r="F77" i="26"/>
  <c r="F95" i="26"/>
  <c r="F74" i="26"/>
  <c r="F80" i="26"/>
  <c r="F92" i="26"/>
  <c r="F40" i="26"/>
  <c r="F50" i="26"/>
  <c r="F67" i="26"/>
  <c r="F39" i="26"/>
  <c r="F45" i="26"/>
  <c r="F31" i="26"/>
  <c r="F23" i="26"/>
  <c r="F20" i="26"/>
  <c r="F13" i="26"/>
  <c r="F12" i="26"/>
  <c r="F16" i="26"/>
  <c r="F159" i="25"/>
  <c r="F161" i="25"/>
  <c r="F158" i="25"/>
  <c r="F157" i="25"/>
  <c r="F172" i="25"/>
  <c r="F170" i="25"/>
  <c r="F147" i="25"/>
  <c r="F151" i="25"/>
  <c r="F152" i="25"/>
  <c r="F149" i="25"/>
  <c r="F146" i="25"/>
  <c r="F131" i="25"/>
  <c r="F129" i="25"/>
  <c r="F126" i="25"/>
  <c r="F125" i="25"/>
  <c r="F130" i="25"/>
  <c r="F116" i="25"/>
  <c r="F113" i="25"/>
  <c r="F121" i="25"/>
  <c r="F115" i="25"/>
  <c r="F107" i="25"/>
  <c r="F110" i="25"/>
  <c r="F102" i="25"/>
  <c r="F104" i="25"/>
  <c r="F103" i="25"/>
  <c r="F101" i="25"/>
  <c r="F96" i="25"/>
  <c r="F93" i="25"/>
  <c r="F95" i="25"/>
  <c r="F94" i="25"/>
  <c r="F97" i="25"/>
  <c r="F79" i="25"/>
  <c r="F81" i="25"/>
  <c r="F82" i="25"/>
  <c r="F80" i="25"/>
  <c r="F65" i="25"/>
  <c r="F76" i="25"/>
  <c r="F71" i="25"/>
  <c r="F75" i="25"/>
  <c r="F66" i="25"/>
  <c r="F74" i="25"/>
  <c r="F73" i="25"/>
  <c r="F67" i="25"/>
  <c r="F64" i="25"/>
  <c r="F62" i="25"/>
  <c r="F60" i="25"/>
  <c r="F59" i="25"/>
  <c r="F56" i="25"/>
  <c r="F55" i="25"/>
  <c r="F51" i="25"/>
  <c r="F53" i="25"/>
  <c r="F54" i="25"/>
  <c r="F52" i="25"/>
  <c r="F41" i="25"/>
  <c r="F42" i="25"/>
  <c r="F45" i="25"/>
  <c r="F48" i="25"/>
  <c r="F46" i="25"/>
  <c r="F49" i="25"/>
  <c r="F30" i="25"/>
  <c r="F37" i="25"/>
  <c r="F35" i="25"/>
  <c r="F26" i="25"/>
  <c r="F23" i="25"/>
  <c r="F22" i="25"/>
  <c r="F28" i="25"/>
  <c r="F29" i="25"/>
  <c r="F17" i="25"/>
  <c r="F15" i="25"/>
  <c r="F18" i="25"/>
  <c r="F16" i="25"/>
  <c r="F281" i="24"/>
  <c r="F278" i="24"/>
  <c r="F273" i="24"/>
  <c r="F280" i="24"/>
  <c r="F270" i="24"/>
  <c r="F268" i="24"/>
  <c r="F256" i="24"/>
  <c r="F253" i="24"/>
  <c r="F251" i="24"/>
  <c r="F248" i="24"/>
  <c r="F246" i="24"/>
  <c r="F240" i="24"/>
  <c r="F237" i="24"/>
  <c r="F235" i="24"/>
  <c r="F230" i="24"/>
  <c r="F236" i="24"/>
  <c r="F231" i="24"/>
  <c r="F238" i="24"/>
  <c r="F234" i="24"/>
  <c r="F227" i="24"/>
  <c r="F221" i="24"/>
  <c r="F224" i="24"/>
  <c r="F220" i="24"/>
  <c r="F228" i="24"/>
  <c r="F226" i="24"/>
  <c r="F215" i="24"/>
  <c r="F210" i="24"/>
  <c r="F208" i="24"/>
  <c r="F206" i="24"/>
  <c r="F214" i="24"/>
  <c r="F202" i="24"/>
  <c r="F200" i="24"/>
  <c r="F203" i="24"/>
  <c r="F204" i="24"/>
  <c r="F181" i="24"/>
  <c r="F184" i="24"/>
  <c r="F183" i="24"/>
  <c r="F182" i="24"/>
  <c r="F180" i="24"/>
  <c r="F147" i="24"/>
  <c r="F143" i="24"/>
  <c r="F138" i="24"/>
  <c r="F139" i="24"/>
  <c r="F140" i="24"/>
  <c r="F142" i="24"/>
  <c r="F141" i="24"/>
  <c r="F135" i="24"/>
  <c r="F136" i="24"/>
  <c r="F134" i="24"/>
  <c r="F126" i="24"/>
  <c r="F125" i="24"/>
  <c r="F122" i="24"/>
  <c r="F120" i="24"/>
  <c r="F117" i="24"/>
  <c r="F113" i="24"/>
  <c r="F100" i="24"/>
  <c r="F99" i="24"/>
  <c r="F98" i="24"/>
  <c r="F97" i="24"/>
  <c r="F82" i="24"/>
  <c r="F76" i="24"/>
  <c r="F75" i="24"/>
  <c r="F81" i="24"/>
  <c r="F47" i="24"/>
  <c r="F43" i="24"/>
  <c r="F44" i="24"/>
  <c r="F45" i="24"/>
  <c r="F46" i="24"/>
  <c r="AE272" i="24"/>
  <c r="F96" i="21"/>
  <c r="F80" i="21"/>
  <c r="F70" i="21"/>
  <c r="F68" i="21"/>
  <c r="F69" i="21"/>
  <c r="F52" i="21"/>
  <c r="F23" i="21"/>
  <c r="F121" i="24" l="1"/>
  <c r="F104" i="24"/>
  <c r="F101" i="24"/>
  <c r="F102" i="24"/>
  <c r="F105" i="24"/>
  <c r="F103" i="24"/>
  <c r="F95" i="24"/>
  <c r="F96" i="24"/>
  <c r="F94" i="24"/>
  <c r="F93" i="24"/>
  <c r="F58" i="24"/>
  <c r="F57" i="24"/>
  <c r="F54" i="24"/>
  <c r="F29" i="24" l="1"/>
  <c r="F25" i="24"/>
  <c r="F31" i="24"/>
  <c r="F26" i="24"/>
  <c r="F28" i="24"/>
  <c r="F27" i="24"/>
  <c r="F14" i="24"/>
  <c r="F24" i="21"/>
  <c r="F41" i="21"/>
  <c r="F32" i="21"/>
  <c r="F8" i="21"/>
  <c r="F34" i="21"/>
  <c r="F37" i="21"/>
  <c r="F38" i="21"/>
  <c r="F15" i="21" l="1"/>
  <c r="F22" i="21"/>
  <c r="F56" i="21"/>
  <c r="F53" i="21"/>
  <c r="F55" i="21"/>
  <c r="F10" i="21"/>
  <c r="F18" i="21"/>
  <c r="F35" i="21"/>
  <c r="F30" i="21" l="1"/>
  <c r="F26" i="21"/>
  <c r="F31" i="21"/>
  <c r="F72" i="21"/>
  <c r="F71" i="21"/>
  <c r="F83" i="21"/>
  <c r="F75" i="21"/>
  <c r="F76" i="21"/>
  <c r="F113" i="21"/>
  <c r="AE175" i="25" l="1"/>
  <c r="AE146" i="25"/>
  <c r="AE147" i="25"/>
  <c r="AE148" i="25"/>
  <c r="AE149" i="25"/>
  <c r="AE150" i="25"/>
  <c r="AE151" i="25"/>
  <c r="AE152" i="25"/>
  <c r="AE153" i="25"/>
  <c r="AE154" i="25"/>
  <c r="AE155" i="25"/>
  <c r="AE156" i="25"/>
  <c r="AE157" i="25"/>
  <c r="AE158" i="25"/>
  <c r="AE159" i="25"/>
  <c r="AE160" i="25"/>
  <c r="AE161" i="25"/>
  <c r="AE162" i="25"/>
  <c r="AE163" i="25"/>
  <c r="AE164" i="25"/>
  <c r="AE165" i="25"/>
  <c r="AE166" i="25"/>
  <c r="AE167" i="25"/>
  <c r="AE168" i="25"/>
  <c r="AE169" i="25"/>
  <c r="AE170" i="25"/>
  <c r="AE171" i="25"/>
  <c r="AE172" i="25"/>
  <c r="AE173" i="25"/>
  <c r="AE174" i="25"/>
  <c r="AE145" i="25"/>
  <c r="AE102" i="25"/>
  <c r="AE103" i="25"/>
  <c r="AE104" i="25"/>
  <c r="AE105" i="25"/>
  <c r="AE106" i="25"/>
  <c r="AE107" i="25"/>
  <c r="AE108" i="25"/>
  <c r="AE109" i="25"/>
  <c r="AE110" i="25"/>
  <c r="AE111" i="25"/>
  <c r="AE112" i="25"/>
  <c r="AE113" i="25"/>
  <c r="AE114" i="25"/>
  <c r="AE115" i="25"/>
  <c r="AE116" i="25"/>
  <c r="AE117" i="25"/>
  <c r="AE118" i="25"/>
  <c r="AE119" i="25"/>
  <c r="AE120" i="25"/>
  <c r="AE121" i="25"/>
  <c r="AE122" i="25"/>
  <c r="AE123" i="25"/>
  <c r="AE124" i="25"/>
  <c r="AE125" i="25"/>
  <c r="AE126" i="25"/>
  <c r="AE127" i="25"/>
  <c r="AE128" i="25"/>
  <c r="AE129" i="25"/>
  <c r="AE130" i="25"/>
  <c r="AE131" i="25"/>
  <c r="AE132" i="25"/>
  <c r="AE133" i="25"/>
  <c r="AE134" i="25"/>
  <c r="AE135" i="25"/>
  <c r="AE136" i="25"/>
  <c r="AE137" i="25"/>
  <c r="AE138" i="25"/>
  <c r="AE139" i="25"/>
  <c r="AE140" i="25"/>
  <c r="AE141" i="25"/>
  <c r="AE142" i="25"/>
  <c r="AE143" i="25"/>
  <c r="AE101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7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39" i="25"/>
  <c r="AE148" i="26" l="1"/>
  <c r="AE147" i="26"/>
  <c r="AE146" i="26"/>
  <c r="AE145" i="26"/>
  <c r="AE144" i="26"/>
  <c r="AE143" i="26"/>
  <c r="AE142" i="26"/>
  <c r="AE141" i="26"/>
  <c r="AE140" i="26"/>
  <c r="AE139" i="26"/>
  <c r="AE138" i="26"/>
  <c r="AE137" i="26"/>
  <c r="AE136" i="26"/>
  <c r="AE135" i="26"/>
  <c r="AE134" i="26"/>
  <c r="AE133" i="26"/>
  <c r="AE132" i="26"/>
  <c r="AE131" i="26"/>
  <c r="AE130" i="26"/>
  <c r="AE129" i="26"/>
  <c r="AE128" i="26"/>
  <c r="AE126" i="26"/>
  <c r="AE125" i="26"/>
  <c r="AE124" i="26"/>
  <c r="AE123" i="26"/>
  <c r="AE122" i="26"/>
  <c r="AE121" i="26"/>
  <c r="AE120" i="26"/>
  <c r="AE119" i="26"/>
  <c r="AE118" i="26"/>
  <c r="AE117" i="26"/>
  <c r="AE116" i="26"/>
  <c r="AE115" i="26"/>
  <c r="AE114" i="26"/>
  <c r="AE113" i="26"/>
  <c r="AE112" i="26"/>
  <c r="AE111" i="26"/>
  <c r="AE110" i="26"/>
  <c r="AE109" i="26"/>
  <c r="AE108" i="26"/>
  <c r="AE107" i="26"/>
  <c r="AE106" i="26"/>
  <c r="AE105" i="26"/>
  <c r="AE104" i="26"/>
  <c r="AE103" i="26"/>
  <c r="AE102" i="26"/>
  <c r="AE101" i="26"/>
  <c r="AE100" i="26"/>
  <c r="AE99" i="26"/>
  <c r="AE98" i="26"/>
  <c r="AE97" i="26"/>
  <c r="AE96" i="26"/>
  <c r="AE95" i="26"/>
  <c r="AE94" i="26"/>
  <c r="AE93" i="26"/>
  <c r="AE92" i="26"/>
  <c r="AE91" i="26"/>
  <c r="AE90" i="26"/>
  <c r="AE89" i="26"/>
  <c r="AE88" i="26"/>
  <c r="AE87" i="26"/>
  <c r="AE86" i="26"/>
  <c r="AE85" i="26"/>
  <c r="AE84" i="26"/>
  <c r="AE83" i="26"/>
  <c r="AE82" i="26"/>
  <c r="AE81" i="26"/>
  <c r="AE80" i="26"/>
  <c r="AE79" i="26"/>
  <c r="AE78" i="26"/>
  <c r="AE77" i="26"/>
  <c r="AE76" i="26"/>
  <c r="AE75" i="26"/>
  <c r="AE74" i="26"/>
  <c r="AE73" i="26"/>
  <c r="AE72" i="26"/>
  <c r="AE71" i="26"/>
  <c r="AE70" i="26"/>
  <c r="AE69" i="26"/>
  <c r="AE68" i="26"/>
  <c r="AE67" i="26"/>
  <c r="AE66" i="26"/>
  <c r="AE65" i="26"/>
  <c r="AE64" i="26"/>
  <c r="AE63" i="26"/>
  <c r="AE62" i="26"/>
  <c r="AE61" i="26"/>
  <c r="AE60" i="26"/>
  <c r="AE59" i="26"/>
  <c r="AE58" i="26"/>
  <c r="AE57" i="26"/>
  <c r="AE56" i="26"/>
  <c r="AE55" i="26"/>
  <c r="AE54" i="26"/>
  <c r="AE53" i="26"/>
  <c r="AE52" i="26"/>
  <c r="AE51" i="26"/>
  <c r="AE50" i="26"/>
  <c r="AE49" i="26"/>
  <c r="AE48" i="26"/>
  <c r="AE47" i="26"/>
  <c r="AE46" i="26"/>
  <c r="AE45" i="26"/>
  <c r="AE44" i="26"/>
  <c r="AE43" i="26"/>
  <c r="AE42" i="26"/>
  <c r="AE41" i="26"/>
  <c r="AE40" i="26"/>
  <c r="AE39" i="26"/>
  <c r="AE38" i="26"/>
  <c r="AE37" i="26"/>
  <c r="AE36" i="26"/>
  <c r="AE35" i="26"/>
  <c r="AE34" i="26"/>
  <c r="AE33" i="26"/>
  <c r="AE32" i="26"/>
  <c r="AE31" i="26"/>
  <c r="AE30" i="26"/>
  <c r="AE29" i="26"/>
  <c r="AE28" i="26"/>
  <c r="AE27" i="26"/>
  <c r="AE26" i="26"/>
  <c r="AE25" i="26"/>
  <c r="AE23" i="26"/>
  <c r="AE22" i="26"/>
  <c r="AE21" i="26"/>
  <c r="AE20" i="26"/>
  <c r="AE19" i="26"/>
  <c r="AE18" i="26"/>
  <c r="AE17" i="26"/>
  <c r="AE16" i="26"/>
  <c r="AE15" i="26"/>
  <c r="AE14" i="26"/>
  <c r="AE13" i="26"/>
  <c r="AE12" i="26"/>
  <c r="AE11" i="26"/>
  <c r="AE10" i="26"/>
  <c r="AE9" i="26"/>
  <c r="AE8" i="26"/>
  <c r="AE37" i="25"/>
  <c r="AE36" i="25"/>
  <c r="AE35" i="25"/>
  <c r="AE34" i="25"/>
  <c r="AE33" i="25"/>
  <c r="AE32" i="25"/>
  <c r="AE31" i="25"/>
  <c r="AE30" i="25"/>
  <c r="AE29" i="25"/>
  <c r="AE28" i="25"/>
  <c r="AE27" i="25"/>
  <c r="AE26" i="25"/>
  <c r="AE25" i="25"/>
  <c r="AE24" i="25"/>
  <c r="AE23" i="25"/>
  <c r="AE22" i="25"/>
  <c r="AE21" i="25"/>
  <c r="AE20" i="25"/>
  <c r="AE19" i="25"/>
  <c r="AE18" i="25"/>
  <c r="AE17" i="25"/>
  <c r="AE16" i="25"/>
  <c r="AE15" i="25"/>
  <c r="AE14" i="25"/>
  <c r="AE13" i="25"/>
  <c r="AE12" i="25"/>
  <c r="AE11" i="25"/>
  <c r="AE10" i="25"/>
  <c r="AE9" i="25"/>
  <c r="AE8" i="25"/>
  <c r="AE298" i="24"/>
  <c r="AE297" i="24"/>
  <c r="AE296" i="24"/>
  <c r="AE295" i="24"/>
  <c r="AE294" i="24"/>
  <c r="AE293" i="24"/>
  <c r="AE292" i="24"/>
  <c r="AE291" i="24"/>
  <c r="AE290" i="24"/>
  <c r="AE289" i="24"/>
  <c r="AE288" i="24"/>
  <c r="AE287" i="24"/>
  <c r="AE286" i="24"/>
  <c r="AE285" i="24"/>
  <c r="AE284" i="24"/>
  <c r="AE283" i="24"/>
  <c r="AE282" i="24"/>
  <c r="AE281" i="24"/>
  <c r="AE280" i="24"/>
  <c r="AE279" i="24"/>
  <c r="AE278" i="24"/>
  <c r="AE277" i="24"/>
  <c r="AE276" i="24"/>
  <c r="AE275" i="24"/>
  <c r="AE274" i="24"/>
  <c r="AE273" i="24"/>
  <c r="AE270" i="24"/>
  <c r="AE269" i="24"/>
  <c r="AE268" i="24"/>
  <c r="AE267" i="24"/>
  <c r="AE266" i="24"/>
  <c r="AE265" i="24"/>
  <c r="AE264" i="24"/>
  <c r="AE263" i="24"/>
  <c r="AE262" i="24"/>
  <c r="AE261" i="24"/>
  <c r="AE260" i="24"/>
  <c r="AE259" i="24"/>
  <c r="AE258" i="24"/>
  <c r="AE257" i="24"/>
  <c r="AE256" i="24"/>
  <c r="AE255" i="24"/>
  <c r="AE254" i="24"/>
  <c r="AE253" i="24"/>
  <c r="AE252" i="24"/>
  <c r="AE251" i="24"/>
  <c r="AE250" i="24"/>
  <c r="AE249" i="24"/>
  <c r="AE248" i="24"/>
  <c r="AE246" i="24"/>
  <c r="AE245" i="24"/>
  <c r="AE244" i="24"/>
  <c r="AE243" i="24"/>
  <c r="AE242" i="24"/>
  <c r="AE241" i="24"/>
  <c r="AE240" i="24"/>
  <c r="AE239" i="24"/>
  <c r="AE238" i="24"/>
  <c r="AE237" i="24"/>
  <c r="AE236" i="24"/>
  <c r="AE235" i="24"/>
  <c r="AE234" i="24"/>
  <c r="AE233" i="24"/>
  <c r="AE232" i="24"/>
  <c r="AE231" i="24"/>
  <c r="AE230" i="24"/>
  <c r="AE229" i="24"/>
  <c r="AE228" i="24"/>
  <c r="AE227" i="24"/>
  <c r="AE226" i="24"/>
  <c r="AE225" i="24"/>
  <c r="AE224" i="24"/>
  <c r="AE223" i="24"/>
  <c r="AE222" i="24"/>
  <c r="AE221" i="24"/>
  <c r="AE220" i="24"/>
  <c r="AE219" i="24"/>
  <c r="AE218" i="24"/>
  <c r="AE217" i="24"/>
  <c r="AE216" i="24"/>
  <c r="AE215" i="24"/>
  <c r="AE214" i="24"/>
  <c r="AE213" i="24"/>
  <c r="AE212" i="24"/>
  <c r="AE211" i="24"/>
  <c r="AE210" i="24"/>
  <c r="AE209" i="24"/>
  <c r="AE208" i="24"/>
  <c r="AE207" i="24"/>
  <c r="AE206" i="24"/>
  <c r="AE205" i="24"/>
  <c r="AE204" i="24"/>
  <c r="AE203" i="24"/>
  <c r="AE202" i="24"/>
  <c r="AE201" i="24"/>
  <c r="AE200" i="24"/>
  <c r="AE199" i="24"/>
  <c r="AE198" i="24"/>
  <c r="AE197" i="24"/>
  <c r="AE196" i="24"/>
  <c r="AE195" i="24"/>
  <c r="AE194" i="24"/>
  <c r="AE192" i="24"/>
  <c r="AE191" i="24"/>
  <c r="AE190" i="24"/>
  <c r="AE189" i="24"/>
  <c r="AE188" i="24"/>
  <c r="AE187" i="24"/>
  <c r="AE186" i="24"/>
  <c r="AE185" i="24"/>
  <c r="AE184" i="24"/>
  <c r="AE183" i="24"/>
  <c r="AE181" i="24"/>
  <c r="AE180" i="24"/>
  <c r="AE179" i="24"/>
  <c r="AE178" i="24"/>
  <c r="AE177" i="24"/>
  <c r="AE176" i="24"/>
  <c r="AE175" i="24"/>
  <c r="AE174" i="24"/>
  <c r="AE173" i="24"/>
  <c r="AE172" i="24"/>
  <c r="AE171" i="24"/>
  <c r="AE170" i="24"/>
  <c r="AE169" i="24"/>
  <c r="AE168" i="24"/>
  <c r="AE167" i="24"/>
  <c r="AE166" i="24"/>
  <c r="AE165" i="24"/>
  <c r="AE164" i="24"/>
  <c r="AE163" i="24"/>
  <c r="AE162" i="24"/>
  <c r="AE161" i="24"/>
  <c r="AE160" i="24"/>
  <c r="AE159" i="24"/>
  <c r="AE158" i="24"/>
  <c r="AE157" i="24"/>
  <c r="AE156" i="24"/>
  <c r="AE154" i="24"/>
  <c r="AE153" i="24"/>
  <c r="AE152" i="24"/>
  <c r="AE151" i="24"/>
  <c r="AE150" i="24"/>
  <c r="AE149" i="24"/>
  <c r="AE148" i="24"/>
  <c r="AE147" i="24"/>
  <c r="AE146" i="24"/>
  <c r="AE145" i="24"/>
  <c r="AE144" i="24"/>
  <c r="AE143" i="24"/>
  <c r="AE142" i="24"/>
  <c r="AE141" i="24"/>
  <c r="AE140" i="24"/>
  <c r="AE139" i="24"/>
  <c r="AE138" i="24"/>
  <c r="AE137" i="24"/>
  <c r="AE136" i="24"/>
  <c r="AE135" i="24"/>
  <c r="AE134" i="24"/>
  <c r="AE133" i="24"/>
  <c r="AE132" i="24"/>
  <c r="AE131" i="24"/>
  <c r="AE130" i="24"/>
  <c r="AE129" i="24"/>
  <c r="AE128" i="24"/>
  <c r="AE127" i="24"/>
  <c r="AE126" i="24"/>
  <c r="AE125" i="24"/>
  <c r="AE124" i="24"/>
  <c r="AE123" i="24"/>
  <c r="AE122" i="24"/>
  <c r="AE121" i="24"/>
  <c r="AE120" i="24"/>
  <c r="AE119" i="24"/>
  <c r="AE118" i="24"/>
  <c r="AE117" i="24"/>
  <c r="AE116" i="24"/>
  <c r="AE115" i="24"/>
  <c r="AE114" i="24"/>
  <c r="AE113" i="24"/>
  <c r="AE112" i="24"/>
  <c r="AE111" i="24"/>
  <c r="AE110" i="24"/>
  <c r="AE109" i="24"/>
  <c r="AE108" i="24"/>
  <c r="AE107" i="24"/>
  <c r="AE106" i="24"/>
  <c r="AE105" i="24"/>
  <c r="AE104" i="24"/>
  <c r="AE103" i="24"/>
  <c r="AE102" i="24"/>
  <c r="AE101" i="24"/>
  <c r="AE100" i="24"/>
  <c r="AE99" i="24"/>
  <c r="AE98" i="24"/>
  <c r="AE97" i="24"/>
  <c r="AE96" i="24"/>
  <c r="AE95" i="24"/>
  <c r="AE94" i="24"/>
  <c r="AE93" i="24"/>
  <c r="AE92" i="24"/>
  <c r="AE91" i="24"/>
  <c r="AE90" i="24"/>
  <c r="AE89" i="24"/>
  <c r="AE88" i="24"/>
  <c r="AE87" i="24"/>
  <c r="AE86" i="24"/>
  <c r="AE85" i="24"/>
  <c r="AE84" i="24"/>
  <c r="AE83" i="24"/>
  <c r="AE82" i="24"/>
  <c r="AE81" i="24"/>
  <c r="AE80" i="24"/>
  <c r="AE79" i="24"/>
  <c r="AE78" i="24"/>
  <c r="AE77" i="24"/>
  <c r="AE76" i="24"/>
  <c r="AE75" i="24"/>
  <c r="AE74" i="24"/>
  <c r="AE73" i="24"/>
  <c r="AE72" i="24"/>
  <c r="AE70" i="24"/>
  <c r="AE69" i="24"/>
  <c r="AE68" i="24"/>
  <c r="AE67" i="24"/>
  <c r="AE66" i="24"/>
  <c r="AE65" i="24"/>
  <c r="AE64" i="24"/>
  <c r="AE63" i="24"/>
  <c r="AE62" i="24"/>
  <c r="AE61" i="24"/>
  <c r="AE60" i="24"/>
  <c r="AE59" i="24"/>
  <c r="AE58" i="24"/>
  <c r="AE57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AE38" i="24"/>
  <c r="AE37" i="24"/>
  <c r="AE36" i="24"/>
  <c r="AE35" i="24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E10" i="24"/>
  <c r="AE9" i="24"/>
  <c r="AE8" i="24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8" i="21"/>
  <c r="AE97" i="21"/>
  <c r="AE96" i="21"/>
  <c r="AE95" i="21"/>
  <c r="AE94" i="21"/>
  <c r="AE93" i="21"/>
  <c r="AE92" i="21"/>
  <c r="AE91" i="21"/>
  <c r="AE90" i="21"/>
  <c r="AE89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W18" i="21"/>
  <c r="AE17" i="21"/>
  <c r="AE16" i="21"/>
  <c r="AE15" i="21"/>
  <c r="AE14" i="21"/>
  <c r="AE13" i="21"/>
  <c r="AE12" i="21"/>
  <c r="AE11" i="21"/>
  <c r="AE10" i="21"/>
  <c r="AE9" i="21"/>
  <c r="AE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Maria</author>
    <author>Francisco Alvarez</author>
    <author>GUIDO</author>
    <author>Juliana</author>
    <author>Guido Escobar Morales</author>
    <author>Guido Escobar</author>
  </authors>
  <commentList>
    <comment ref="Z8" authorId="0" shapeId="0" xr:uid="{13905856-8685-45D4-BC44-B4EEC844F2A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
</t>
        </r>
      </text>
    </comment>
    <comment ref="Z11" authorId="0" shapeId="0" xr:uid="{C2C8FAAF-2C65-4B3E-A3B2-B1448B47F90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1240</t>
        </r>
      </text>
    </comment>
    <comment ref="Z15" authorId="0" shapeId="0" xr:uid="{66B7A5BE-8FA1-4DC7-952F-B668971AB1EC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50</t>
        </r>
      </text>
    </comment>
    <comment ref="AC16" authorId="1" shapeId="0" xr:uid="{3B189D29-3FC9-4880-871A-DD1E2B935B07}">
      <text>
        <r>
          <rPr>
            <b/>
            <sz val="9"/>
            <color indexed="81"/>
            <rFont val="Tahoma"/>
            <family val="2"/>
          </rPr>
          <t>Francisco Alvarez:</t>
        </r>
        <r>
          <rPr>
            <sz val="9"/>
            <color indexed="81"/>
            <rFont val="Tahoma"/>
            <family val="2"/>
          </rPr>
          <t xml:space="preserve">
 $ 2.860.000.000 
1.3.3.0.00.00 - Recursos del Balance de libre destinación
 $ 297.736.320 
1.2.1.0.00 - Ingresos corrientes de Libre Destinación</t>
        </r>
      </text>
    </comment>
    <comment ref="Z17" authorId="0" shapeId="0" xr:uid="{F3FA8AFA-CF4D-4638-A2D0-32C92676ABDD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2700</t>
        </r>
      </text>
    </comment>
    <comment ref="AC21" authorId="0" shapeId="0" xr:uid="{4684E045-DB3A-4E21-B143-62453B801EE6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Reservas</t>
        </r>
      </text>
    </comment>
    <comment ref="Z28" authorId="0" shapeId="0" xr:uid="{ED0B6969-6E33-4DE1-84C0-F102A796AE33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</t>
        </r>
      </text>
    </comment>
    <comment ref="Z39" authorId="2" shapeId="0" xr:uid="{E78A3B13-A8EE-467E-9E3B-8F3572CABB84}">
      <text>
        <r>
          <rPr>
            <sz val="9"/>
            <color indexed="81"/>
            <rFont val="Tahoma"/>
            <family val="2"/>
          </rPr>
          <t xml:space="preserve">
Habían puesto 100
</t>
        </r>
      </text>
    </comment>
    <comment ref="Y40" authorId="3" shapeId="0" xr:uid="{BD1D32DE-FD06-42A2-85EE-F291D4D203F7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79 a 89 por contrapartida del operador</t>
        </r>
      </text>
    </comment>
    <comment ref="Z40" authorId="0" shapeId="0" xr:uid="{6560B2BD-BFFC-4F5C-AC42-A7C4750F0167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150</t>
        </r>
      </text>
    </comment>
    <comment ref="Z53" authorId="2" shapeId="0" xr:uid="{0621C4A7-4BF7-46E0-8A65-8760255D2F27}">
      <text>
        <r>
          <rPr>
            <sz val="9"/>
            <color indexed="81"/>
            <rFont val="Tahoma"/>
            <family val="2"/>
          </rPr>
          <t xml:space="preserve">
Habían puesto 100
</t>
        </r>
      </text>
    </comment>
    <comment ref="Y66" authorId="3" shapeId="0" xr:uid="{04D7C887-4681-4DB5-A9A1-B90CF7DC861E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Baja de 550 a 530. porque la ficha BP-26004112 Los Andes disminuye población</t>
        </r>
      </text>
    </comment>
    <comment ref="Y68" authorId="3" shapeId="0" xr:uid="{F81DE8B9-C886-4CF5-868E-A0A2125FF190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1 a 5 por contrapartida del operador</t>
        </r>
      </text>
    </comment>
    <comment ref="Z68" authorId="0" shapeId="0" xr:uid="{4D06CD20-1A80-46A5-B35B-13932D9CC2E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habían puesto 12</t>
        </r>
      </text>
    </comment>
    <comment ref="Z70" authorId="0" shapeId="0" xr:uid="{3AB719F2-6834-4201-9DE3-1AEDDF323403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habían puesto 10</t>
        </r>
      </text>
    </comment>
    <comment ref="Z75" authorId="0" shapeId="0" xr:uid="{8C5BDA6E-C38A-44EE-A383-A0CB394CD1F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  <comment ref="Y100" authorId="3" shapeId="0" xr:uid="{1D0EA29A-23D2-4530-A92A-6FC3E510BEDD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Se incrementa de 35.761 a 35.861 por contrapartida del operador.
Pasa de 35.861 a 36.653 dado que por adicion de recursos del balance de vigencias pasadas, se le asigna presupuesto a a 6 proyectos de comunas y corregimientos formulados bajo esta meta.</t>
        </r>
      </text>
    </comment>
    <comment ref="Y103" authorId="3" shapeId="0" xr:uid="{F9887F37-0D3E-4BFA-ADF6-3E60CB48FFA1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12.036 a 12.336 porque aumenta un proyecto con adicion de recursos del balance de vigencias anteriores, de comunas y corregimientos que esta formulado bajo esta meta</t>
        </r>
      </text>
    </comment>
    <comment ref="Y104" authorId="3" shapeId="0" xr:uid="{32FF6BB1-E68E-4CA0-8ACC-9582C702018F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349 a 415 por contrapartida del operador</t>
        </r>
      </text>
    </comment>
    <comment ref="Y105" authorId="3" shapeId="0" xr:uid="{A72F1E59-D0C2-4406-B970-A8207644FB4A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3675 a 3879, dado que se formulo proyecto carretilleros y se ajusto proyecto plan jarillon.
Pasa de 3879 a 4810, dado que se adicionan 10 proyectos nuevos con recursos del balance vigencias anteriores de comunas y corregimiento, que fueron formulados bajo esta meta.</t>
        </r>
      </text>
    </comment>
    <comment ref="Z109" authorId="4" shapeId="0" xr:uid="{0BA6D9B1-885F-4B14-A4BD-21072C2EBF97}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Meta cumplida</t>
        </r>
      </text>
    </comment>
    <comment ref="Y110" authorId="3" shapeId="0" xr:uid="{5ADBD531-29C0-4C57-A848-ECA08BA7D7D5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Pasa de 1200 a 1215, por contrapartida del operador, se incrementa 15 personas mas beneficiadas en 2022.</t>
        </r>
      </text>
    </comment>
    <comment ref="Y111" authorId="3" shapeId="0" xr:uid="{A4566CB9-42AC-43FE-9DD8-4FA54FC3F5DD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Se adelanta la programación de esta meta</t>
        </r>
      </text>
    </comment>
    <comment ref="Y113" authorId="3" shapeId="0" xr:uid="{F0B2A886-1F81-4C62-A725-CC1DA24A6F2D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Se adelanta la programación de esta meta</t>
        </r>
      </text>
    </comment>
    <comment ref="Z115" authorId="0" shapeId="0" xr:uid="{AF1A5D31-1FE8-4B4C-9169-EDE427BD7A5C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2</t>
        </r>
      </text>
    </comment>
    <comment ref="Y117" authorId="3" shapeId="0" xr:uid="{F1E8F225-7FDA-4092-B1EE-BA88F951C2A7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Sube de 76 a 81, dado que por error se habia reportado 30 cuando en realidad son 35 organizaciones a beneficiar en la cadena de valor aprobada. Adicional, por contrapartida se incrementan 7 organizaciones mas, pasa de 81 a 88.</t>
        </r>
      </text>
    </comment>
    <comment ref="Z118" authorId="0" shapeId="0" xr:uid="{D0B73B4D-98C4-4204-B828-7D8F6F13BC5F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1500</t>
        </r>
      </text>
    </comment>
    <comment ref="Y123" authorId="3" shapeId="0" xr:uid="{C6237527-4B5C-4382-AAE8-2817E11D6CD2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Cambia de 39 a 40, dado que por contrapartida se realizara un mercado agroecologico adicional en el año 2022</t>
        </r>
      </text>
    </comment>
    <comment ref="Z126" authorId="0" shapeId="0" xr:uid="{B61EFC00-9C85-460A-A311-527ACFE0C34F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6</t>
        </r>
      </text>
    </comment>
    <comment ref="Y127" authorId="3" shapeId="0" xr:uid="{8485579C-DFD7-4705-9D8A-F6B2EC11A248}">
      <text>
        <r>
          <rPr>
            <b/>
            <sz val="9"/>
            <color indexed="81"/>
            <rFont val="Tahoma"/>
            <family val="2"/>
          </rPr>
          <t>Juliana:</t>
        </r>
        <r>
          <rPr>
            <sz val="9"/>
            <color indexed="81"/>
            <rFont val="Tahoma"/>
            <family val="2"/>
          </rPr>
          <t xml:space="preserve">
Se adelanta meta del 2022 al 2023</t>
        </r>
      </text>
    </comment>
    <comment ref="U129" authorId="5" shapeId="0" xr:uid="{623D5435-983E-469D-9CFB-20AF639EDAD1}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Hacen 1,700, la Lb debe ponerse en cero</t>
        </r>
      </text>
    </comment>
    <comment ref="Z129" authorId="0" shapeId="0" xr:uid="{BBF47BB7-9635-4976-B240-C1D4F6E546C6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3F Dagma 2022=1400 y 2023=1700</t>
        </r>
      </text>
    </comment>
    <comment ref="Z130" authorId="0" shapeId="0" xr:uid="{056C74AC-6A3C-46C7-8494-6FF23AC977D1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Maria</author>
    <author/>
    <author>Guido Escobar Morales</author>
    <author>Guido Escobar M</author>
  </authors>
  <commentList>
    <comment ref="Z26" authorId="0" shapeId="0" xr:uid="{AD02A288-4FA6-4E83-9C59-E206E3F4EEDA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30</t>
        </r>
      </text>
    </comment>
    <comment ref="Z29" authorId="0" shapeId="0" xr:uid="{88E5DB2A-7BF3-4855-8505-E802E9535598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92
</t>
        </r>
      </text>
    </comment>
    <comment ref="Z34" authorId="0" shapeId="0" xr:uid="{370AD6C8-5FDC-48BD-BAB2-F53E27493955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
</t>
        </r>
      </text>
    </comment>
    <comment ref="Z48" authorId="0" shapeId="0" xr:uid="{5E8BC745-22CA-41C1-A5F8-0E843E9D5338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
</t>
        </r>
      </text>
    </comment>
    <comment ref="Z58" authorId="0" shapeId="0" xr:uid="{247AF34B-504A-4BF3-B578-30A27B4B610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348
</t>
        </r>
      </text>
    </comment>
    <comment ref="Z81" authorId="0" shapeId="0" xr:uid="{ACC746A4-6EA5-4A76-815F-0679FF584871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46
</t>
        </r>
      </text>
    </comment>
    <comment ref="Z82" authorId="0" shapeId="0" xr:uid="{714F9EB7-A3DA-4176-8CCA-BB0241739677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19
</t>
        </r>
      </text>
    </comment>
    <comment ref="Z84" authorId="0" shapeId="0" xr:uid="{462DAF61-B065-4B2A-B625-2B8A14A5F4F7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3000
</t>
        </r>
      </text>
    </comment>
    <comment ref="Z131" authorId="0" shapeId="0" xr:uid="{2C13850D-967F-40DB-9249-B98E9C39DCC4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habían puesto 3</t>
        </r>
      </text>
    </comment>
    <comment ref="Z188" authorId="0" shapeId="0" xr:uid="{AA316092-443F-4911-8A38-BFEE10AFB15D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450</t>
        </r>
      </text>
    </comment>
    <comment ref="Z192" authorId="0" shapeId="0" xr:uid="{65FE3802-9115-4A0A-8D0D-54482C299B11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330
</t>
        </r>
      </text>
    </comment>
    <comment ref="Z209" authorId="0" shapeId="0" xr:uid="{B2B06D99-CC93-4F57-9C18-F31D947C73A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
</t>
        </r>
      </text>
    </comment>
    <comment ref="Y224" authorId="1" shapeId="0" xr:uid="{B309FDDE-DCA3-4455-8E28-ECCFAC3EDEA6}">
      <text>
        <r>
          <rPr>
            <sz val="11"/>
            <color indexed="8"/>
            <rFont val="Calibri"/>
            <family val="2"/>
          </rPr>
          <t>======
ID#AAAAcq0r0iI
Planeacion Economica Y Social Secretaria De Educacion    (2022-07-13 19:14:30)
Se ajusta meta de ya que se ingresaron proyectos de inversión de recurso situado de vigencias pasadas.</t>
        </r>
      </text>
    </comment>
    <comment ref="Z236" authorId="0" shapeId="0" xr:uid="{86F665FD-14AE-41F1-AB8A-5365045163CA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Meta cumplida</t>
        </r>
      </text>
    </comment>
    <comment ref="Z238" authorId="0" shapeId="0" xr:uid="{898B0C16-2FCE-4D65-A340-B794EDC68B56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12</t>
        </r>
      </text>
    </comment>
    <comment ref="AD240" authorId="2" shapeId="0" xr:uid="{519F632F-0E30-456B-8E7D-C74754498D57}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Recursos CUR</t>
        </r>
      </text>
    </comment>
    <comment ref="Z250" authorId="0" shapeId="0" xr:uid="{E19886B7-77B3-4610-B19B-28BD91B6E10A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75</t>
        </r>
      </text>
    </comment>
    <comment ref="Y254" authorId="1" shapeId="0" xr:uid="{C06B3430-F5E2-4DE7-B021-0A130F78B019}">
      <text>
        <r>
          <rPr>
            <sz val="11"/>
            <color indexed="8"/>
            <rFont val="Calibri"/>
            <family val="2"/>
          </rPr>
          <t>======
ID#AAAAcq0r0iE
Planeacion Economica Y Social Secretaria De Educacion    (2022-07-13 19:09:38)
Se realiza ajuste de meta por debido a que el detalle de población y presupuesto de proyecto de inversión se evidencia que solo de planea beneficiar a 1000 estudiantes.</t>
        </r>
      </text>
    </comment>
    <comment ref="Z254" authorId="0" shapeId="0" xr:uid="{B554D285-F0E3-4A2A-A2E5-C7EAE4C6D2B2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30000</t>
        </r>
      </text>
    </comment>
    <comment ref="Z255" authorId="3" shapeId="0" xr:uid="{F2D3B1AD-2D8C-44DA-B562-5D10BA875FE4}">
      <text>
        <r>
          <rPr>
            <b/>
            <sz val="9"/>
            <color indexed="81"/>
            <rFont val="Tahoma"/>
            <family val="2"/>
          </rPr>
          <t>Guido Escobar M:</t>
        </r>
        <r>
          <rPr>
            <sz val="9"/>
            <color indexed="81"/>
            <rFont val="Tahoma"/>
            <family val="2"/>
          </rPr>
          <t xml:space="preserve">
Meta superada en 2022</t>
        </r>
      </text>
    </comment>
    <comment ref="Z256" authorId="0" shapeId="0" xr:uid="{57B23200-8848-4307-AAA3-4BC5F88DB030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100</t>
        </r>
      </text>
    </comment>
    <comment ref="Z262" authorId="0" shapeId="0" xr:uid="{07A25F7F-0E81-41CF-BED8-04922F2FFF4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92</t>
        </r>
      </text>
    </comment>
    <comment ref="Z287" authorId="3" shapeId="0" xr:uid="{E5643490-6D68-4D02-8D19-4163DCC0C065}">
      <text>
        <r>
          <rPr>
            <b/>
            <sz val="9"/>
            <color indexed="81"/>
            <rFont val="Tahoma"/>
            <family val="2"/>
          </rPr>
          <t>Guido Escobar M:</t>
        </r>
        <r>
          <rPr>
            <sz val="9"/>
            <color indexed="81"/>
            <rFont val="Tahoma"/>
            <family val="2"/>
          </rPr>
          <t xml:space="preserve">
Meta superada en 2022</t>
        </r>
      </text>
    </comment>
    <comment ref="Z296" authorId="2" shapeId="0" xr:uid="{E0C5BA3D-16C4-47AB-A476-5C6DBB0FDCC4}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Meta cumplida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Guido Escobar Morales</author>
    <author>Familia</author>
    <author>Diana Maria</author>
    <author>Guido Escobar M</author>
  </authors>
  <commentList>
    <comment ref="Z11" authorId="0" shapeId="0" xr:uid="{CE81840A-0CDE-4D74-8EA8-4493E0F7456C}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Familia:</t>
        </r>
        <r>
          <rPr>
            <sz val="9"/>
            <color indexed="81"/>
            <rFont val="Tahoma"/>
            <family val="2"/>
          </rPr>
          <t xml:space="preserve">
Para la vigencia 2021 se programó la compra de predios y el diseño del parque. </t>
        </r>
      </text>
    </comment>
    <comment ref="Z36" authorId="2" shapeId="0" xr:uid="{52299344-ADE9-4C96-AD05-865B52BB8EE5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100</t>
        </r>
      </text>
    </comment>
    <comment ref="Z37" authorId="2" shapeId="0" xr:uid="{3BC5BB2A-E20F-4C25-B3A4-5F089DA1A917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  <comment ref="Z46" authorId="2" shapeId="0" xr:uid="{E8758CDA-3064-4F67-AA93-73E7846C4852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5</t>
        </r>
      </text>
    </comment>
    <comment ref="Z50" authorId="2" shapeId="0" xr:uid="{5E9DC1CB-CD52-4302-84D7-02DDEB55653A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
</t>
        </r>
      </text>
    </comment>
    <comment ref="Z63" authorId="2" shapeId="0" xr:uid="{4CCF6095-AA84-443E-AFF5-0D96F91DDBE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  <comment ref="Z93" authorId="2" shapeId="0" xr:uid="{3BEBB389-6BBB-4BD6-9F27-DA1737880E8D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29
</t>
        </r>
      </text>
    </comment>
    <comment ref="Z94" authorId="2" shapeId="0" xr:uid="{FD5AD255-E3C8-47A7-9085-FC60E30D75E3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343
</t>
        </r>
      </text>
    </comment>
    <comment ref="Z96" authorId="2" shapeId="0" xr:uid="{34F7F096-6E16-4725-B191-A05DD1B9BF3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100
</t>
        </r>
      </text>
    </comment>
    <comment ref="Z109" authorId="2" shapeId="0" xr:uid="{4D9F2D48-80C8-4D9C-B21D-689E6D2F085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32</t>
        </r>
      </text>
    </comment>
    <comment ref="Z112" authorId="2" shapeId="0" xr:uid="{BEF220A8-647D-4025-9C0E-36864CBD5793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22</t>
        </r>
      </text>
    </comment>
    <comment ref="Z114" authorId="2" shapeId="0" xr:uid="{222AD300-0386-44A8-858E-104B7CF752E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1322</t>
        </r>
      </text>
    </comment>
    <comment ref="Z118" authorId="2" shapeId="0" xr:uid="{577797C0-D8FE-4239-BC74-59E9308A29E3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5</t>
        </r>
      </text>
    </comment>
    <comment ref="Z119" authorId="2" shapeId="0" xr:uid="{CB9F9B5A-9292-40CA-A937-10AB54B77C30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</t>
        </r>
      </text>
    </comment>
    <comment ref="Z120" authorId="2" shapeId="0" xr:uid="{F749033F-FD50-4D99-BE92-04295BD91C61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  <comment ref="Z142" authorId="3" shapeId="0" xr:uid="{ADBE6CD2-062A-4B92-A4A2-CA60046BAE80}">
      <text>
        <r>
          <rPr>
            <b/>
            <sz val="9"/>
            <color indexed="81"/>
            <rFont val="Tahoma"/>
            <family val="2"/>
          </rPr>
          <t>Guido Escobar M:</t>
        </r>
        <r>
          <rPr>
            <sz val="9"/>
            <color indexed="81"/>
            <rFont val="Tahoma"/>
            <family val="2"/>
          </rPr>
          <t xml:space="preserve">
Meta superada en 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Guido Escobar Morales</author>
    <author>Diana Maria</author>
    <author>Guido Escobar M</author>
    <author>Guido Escobar</author>
  </authors>
  <commentList>
    <comment ref="AD40" authorId="0" shapeId="0" xr:uid="{9EC8BD70-8C56-4BA6-9688-868782476786}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Propios Libre</t>
        </r>
      </text>
    </comment>
    <comment ref="Z43" authorId="1" shapeId="0" xr:uid="{7001DBAD-DFC5-48D0-B1C8-C9FBC3388D1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50</t>
        </r>
      </text>
    </comment>
    <comment ref="Z61" authorId="1" shapeId="0" xr:uid="{EF5F43A3-4B37-47E7-9740-7D78443B2A62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5.5</t>
        </r>
      </text>
    </comment>
    <comment ref="Z83" authorId="1" shapeId="0" xr:uid="{7BD61DC8-B3C5-4FE6-A5F0-58AEF27A9E8A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</t>
        </r>
      </text>
    </comment>
    <comment ref="Z102" authorId="1" shapeId="0" xr:uid="{5085AD55-7AFE-4749-B4E2-A6D48E00553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20
</t>
        </r>
      </text>
    </comment>
    <comment ref="Z110" authorId="1" shapeId="0" xr:uid="{B46C85A1-9DA6-4A72-B853-EB0082FB7099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100</t>
        </r>
      </text>
    </comment>
    <comment ref="Z111" authorId="2" shapeId="0" xr:uid="{E3F5A5D1-35E3-4D63-BB72-FA22AFB38BF4}">
      <text>
        <r>
          <rPr>
            <b/>
            <sz val="9"/>
            <color indexed="81"/>
            <rFont val="Tahoma"/>
            <family val="2"/>
          </rPr>
          <t>Guido Escobar M:</t>
        </r>
        <r>
          <rPr>
            <sz val="9"/>
            <color indexed="81"/>
            <rFont val="Tahoma"/>
            <family val="2"/>
          </rPr>
          <t xml:space="preserve">
Meta superada en 2022</t>
        </r>
      </text>
    </comment>
    <comment ref="Z131" authorId="1" shapeId="0" xr:uid="{7EC4B34E-B307-494C-B773-CBE1F9B8CCBE}">
      <text>
        <r>
          <rPr>
            <b/>
            <sz val="9"/>
            <color indexed="81"/>
            <rFont val="Tahoma"/>
            <family val="2"/>
          </rPr>
          <t>Diana Maria:</t>
        </r>
        <r>
          <rPr>
            <sz val="9"/>
            <color indexed="81"/>
            <rFont val="Tahoma"/>
            <family val="2"/>
          </rPr>
          <t xml:space="preserve">
habian puesto 37</t>
        </r>
      </text>
    </comment>
    <comment ref="Y136" authorId="3" shapeId="0" xr:uid="{00000000-0006-0000-0300-000001000000}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supera la meta</t>
        </r>
      </text>
    </comment>
    <comment ref="Z144" authorId="2" shapeId="0" xr:uid="{5E101691-28E7-4ACA-96D7-AA77EDD44EF4}">
      <text>
        <r>
          <rPr>
            <b/>
            <sz val="9"/>
            <color indexed="81"/>
            <rFont val="Tahoma"/>
            <family val="2"/>
          </rPr>
          <t>Guido Escobar M:</t>
        </r>
        <r>
          <rPr>
            <sz val="9"/>
            <color indexed="81"/>
            <rFont val="Tahoma"/>
            <family val="2"/>
          </rPr>
          <t xml:space="preserve">
Meta superada en 2022</t>
        </r>
      </text>
    </comment>
  </commentList>
</comments>
</file>

<file path=xl/sharedStrings.xml><?xml version="1.0" encoding="utf-8"?>
<sst xmlns="http://schemas.openxmlformats.org/spreadsheetml/2006/main" count="6025" uniqueCount="2459">
  <si>
    <t>Programa</t>
  </si>
  <si>
    <t>Unidad de medida</t>
  </si>
  <si>
    <t>Variables</t>
  </si>
  <si>
    <t>Código indicador</t>
  </si>
  <si>
    <t>Responsable</t>
  </si>
  <si>
    <t>V</t>
  </si>
  <si>
    <t>Meta 
(Descripción)</t>
  </si>
  <si>
    <t>Indicador 
(Descripción)</t>
  </si>
  <si>
    <t>Fórmula</t>
  </si>
  <si>
    <t>Ponderación programa (%)</t>
  </si>
  <si>
    <t>Metas</t>
  </si>
  <si>
    <t>Recursos</t>
  </si>
  <si>
    <t>Meta cuatrienio</t>
  </si>
  <si>
    <t>ENCABEZADO COLUMNA</t>
  </si>
  <si>
    <t>DESCRIPCIÓN DE LA COLUMNA</t>
  </si>
  <si>
    <t>B</t>
  </si>
  <si>
    <t>C</t>
  </si>
  <si>
    <t>Identificación del programa del Plan de Desarrollo  (código y nombre)</t>
  </si>
  <si>
    <t>D</t>
  </si>
  <si>
    <t>Código del indicador = Area funcional, 11 dígitos</t>
  </si>
  <si>
    <t>E</t>
  </si>
  <si>
    <t>Meta (Descripción)</t>
  </si>
  <si>
    <t>Descripción de las metas de producto del cuatrienio</t>
  </si>
  <si>
    <t>F</t>
  </si>
  <si>
    <t>Indicador (Descripción)</t>
  </si>
  <si>
    <t>Descripción del indicador de producto</t>
  </si>
  <si>
    <t>G</t>
  </si>
  <si>
    <t>Unidad de medida del indicador</t>
  </si>
  <si>
    <t>H</t>
  </si>
  <si>
    <t>Descripción de la fórmula del indicador</t>
  </si>
  <si>
    <t>I</t>
  </si>
  <si>
    <t>Descripción de las variables de la fórmula del indicador</t>
  </si>
  <si>
    <t>J</t>
  </si>
  <si>
    <t>Unidad de medida de la(s) variable(s) del indicador</t>
  </si>
  <si>
    <t>K</t>
  </si>
  <si>
    <t>Valor de la línea base de las metas de producto: corresponde al valor del indicador de producto al iniciar el período de gobierno</t>
  </si>
  <si>
    <t>L</t>
  </si>
  <si>
    <t>Valor esperado de la meta en el cuatrienio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</si>
  <si>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</si>
  <si>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</si>
  <si>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</si>
  <si>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</si>
  <si>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</si>
  <si>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</si>
  <si>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</si>
  <si>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</si>
  <si>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</si>
  <si>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</si>
  <si>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Valor de la ponderación del programa dentro del componente</t>
  </si>
  <si>
    <t>A1</t>
  </si>
  <si>
    <t>A2</t>
  </si>
  <si>
    <t>A3</t>
  </si>
  <si>
    <t>Ponderación meta (%)</t>
  </si>
  <si>
    <t>X</t>
  </si>
  <si>
    <t>Y</t>
  </si>
  <si>
    <t>Z</t>
  </si>
  <si>
    <t>AA</t>
  </si>
  <si>
    <t>AB</t>
  </si>
  <si>
    <t>AC</t>
  </si>
  <si>
    <t>AD</t>
  </si>
  <si>
    <t>Sector FUT</t>
  </si>
  <si>
    <t>Tipo de meta</t>
  </si>
  <si>
    <t>Identificación del tipo de meta: incremento, reducción, mantenimiento, operador lógico</t>
  </si>
  <si>
    <t>Descripción Matriz de Plan Indicativo</t>
  </si>
  <si>
    <t>Dimensión</t>
  </si>
  <si>
    <t>Línea estratégica</t>
  </si>
  <si>
    <t>Sector Nacional</t>
  </si>
  <si>
    <t>Código ODS</t>
  </si>
  <si>
    <t>2020-2023</t>
  </si>
  <si>
    <t>M-2020</t>
  </si>
  <si>
    <t>M-2021</t>
  </si>
  <si>
    <t>M-2022</t>
  </si>
  <si>
    <t>M-2023</t>
  </si>
  <si>
    <t>I-2020</t>
  </si>
  <si>
    <t>I-2021</t>
  </si>
  <si>
    <t>I-2022</t>
  </si>
  <si>
    <t>I-2023</t>
  </si>
  <si>
    <t>I_2020-2023</t>
  </si>
  <si>
    <t>Identificación de la dimensión del Plan de Desarrollo (código y nombre)</t>
  </si>
  <si>
    <t>Valor de la ponderación de la dimensión</t>
  </si>
  <si>
    <t>Identificación de la Línea estratégica del Plan de Desarrollo  (código y nombre)</t>
  </si>
  <si>
    <t>Valor de la ponderación de la meta dentro del programa en 2020</t>
  </si>
  <si>
    <t>Valor de la ponderación de la meta dentro del programa en 2021</t>
  </si>
  <si>
    <t>Valor de la ponderación de la meta dentro del programa en 2022</t>
  </si>
  <si>
    <t>Valor de la ponderación de la meta dentro del programa en 2023</t>
  </si>
  <si>
    <t>Valor de la ponderación de la meta para el cuatrienio 2020-2023</t>
  </si>
  <si>
    <t>Código Objetivo de Desarrollo Sostenible</t>
  </si>
  <si>
    <t>Código Sector Nacional</t>
  </si>
  <si>
    <t>Identificación del sector FUT (código)</t>
  </si>
  <si>
    <t>Organismo responsable de la ejecución de la meta</t>
  </si>
  <si>
    <t>AF</t>
  </si>
  <si>
    <t>Valor esperado de la meta de producto en 2021. El dato corresponde a: Acumulado (suma vigencia actual  y anterior), Mantenimiento (sostenimiento en el tiempo) o cobertura</t>
  </si>
  <si>
    <t>Valor esperado de la meta de producto en 2020. El dato corresponde a: Acumulado (suma vigencia actual  y anterior), Mantenimiento (sostenimiento en el tiempo) o cobertura</t>
  </si>
  <si>
    <t>Valor esperado de la meta de producto en 2022. El dato corresponde a: Acumulado (suma vigencia actual  y anterior), Mantenimiento (sostenimiento en el tiempo) o cobertura</t>
  </si>
  <si>
    <t>Valor esperado de la meta de producto en 2023. El dato corresponde a: Acumulado (suma vigencia actual  y anterior), Mantenimiento (sostenimiento en el tiempo) o cobertura</t>
  </si>
  <si>
    <t>Valor de los recursos (pesos) en la vigencia 2020 que se utilizan para cumplir con la meta de producto</t>
  </si>
  <si>
    <t>Valor de los recursos (pesos) en la vigencia 2021 que se utilizan para cumplir con la meta de producto</t>
  </si>
  <si>
    <t>Valor de los recursos (pesos) en la vigencia 2022 que se utilizan para cumplir con la meta de producto</t>
  </si>
  <si>
    <t>Valor de los recursos (pesos) en la vigencia 2023 que se utilizan para cumplir con la meta de producto</t>
  </si>
  <si>
    <t>Valor de los recursos (pesos) en el período 2020-2023 que se utilizan para cumplir con la meta de producto</t>
  </si>
  <si>
    <t>Ponderación línea estratégica (%)</t>
  </si>
  <si>
    <t>LB_2019</t>
  </si>
  <si>
    <t>Cali, Inteligente para la Vida</t>
  </si>
  <si>
    <t>5101 Territorio Inteligente</t>
  </si>
  <si>
    <t>5101001 Cali Inteligente</t>
  </si>
  <si>
    <t>A 2023 se encuentra funcionando el Edificio de Cali Inteligente en el área de desarrollo naranja de Ciudad Paraíso, incluyendo el Centro integrado de control y operación de Cali Inteligente</t>
  </si>
  <si>
    <t>Edificio de Cali Inteligente en el área de desarrollo naranja de Ciudad Paraíso, incluyendo el Centro integrado de control y operación de Cali Inteligente funcionando</t>
  </si>
  <si>
    <t>Incremento</t>
  </si>
  <si>
    <t>Bibliotecas y espacios culturales interconectados</t>
  </si>
  <si>
    <t>A 2023 existen 23 equipamientos inteligentes operando en la ciudad.</t>
  </si>
  <si>
    <t>Equipamientos inteligentes operando</t>
  </si>
  <si>
    <t>A 2023 se encuentran operando eficientemente 1240 kilómetros de fibra óptica de la Red Municipal Integrada – REMI.</t>
  </si>
  <si>
    <t>Longitud de fibra óptica de Red Distrital Integrada – REMI, operando</t>
  </si>
  <si>
    <t xml:space="preserve">En el período 2021-2023, se diseña y construye la fase 1 de la Central de Telecomunicaciones en Salud  </t>
  </si>
  <si>
    <t>Central de Telecomunicaciones en Salud Fase 1 diseñada y construida</t>
  </si>
  <si>
    <t xml:space="preserve">En el periodo 2020-2023 se implementa el sistema de señalizacion turistica con  la instalación de  200 señaléticas de informacion turistica. 
</t>
  </si>
  <si>
    <t>Sistema de señalización turística implementado</t>
  </si>
  <si>
    <t>En el periodo 2020-2023 se fortalecen 6 puntos de información turistica</t>
  </si>
  <si>
    <t>Red de puntos información turística operando</t>
  </si>
  <si>
    <t>Durante el periodo 2021-2023 se han dotado 50 Puntos de Apropiación Digital (PAD) con herramientas TI para población con discapacidad.</t>
  </si>
  <si>
    <t>Puntos de Apropiación Digital (PAD) dotados con herramientas TI para población con discapacidad</t>
  </si>
  <si>
    <t>A 2023 existen 75 Zonas públicas con acceso gratuito a internet con servicio al ciudadano</t>
  </si>
  <si>
    <t>Zonas públicas con acceso gratuito a internet para el servicio al ciudadano</t>
  </si>
  <si>
    <t xml:space="preserve">En el periodo 2020 - 2023, 2700 docentes y directivos docentes de las instituciones educativas oficiales con acompañamiento didáctico y curricular en estrategias pedagógicas mediadas por TIC </t>
  </si>
  <si>
    <t>Docentes y Directivos Docentes con acompañamiento didáctico y curricular en estrategias pedagógicas mediadas por las TIC</t>
  </si>
  <si>
    <t>En el periodo 2020-2023 se realiza cambio de 61.310 luminarias a nuevas tecnologías con mayor eficiencia energética</t>
  </si>
  <si>
    <t>Alumbrado público inteligente implementado</t>
  </si>
  <si>
    <t>En el periodo 2021-2023 se implementa 3 procesos de contratación bajo el enfoque de compra pública para la innovación en el Municipio de Santiago de Cali.</t>
  </si>
  <si>
    <t>Procesos de contratación implementados bajo el enfoque de compra pública para la innovación</t>
  </si>
  <si>
    <t xml:space="preserve"> Durante el periodo 2020-2021, se pone en operación una plataforma para la  integración de los servicios al ciudadano.</t>
  </si>
  <si>
    <t>Plataforma para la integración de servicios al ciudadano operando</t>
  </si>
  <si>
    <t xml:space="preserve"> En el periodo 2021 se realiza Plan Maestro de Alumbrado Público elaborado</t>
  </si>
  <si>
    <t>Plan Maestro de Alumbrado Público elaborado</t>
  </si>
  <si>
    <t xml:space="preserve"> En el periodo 2021 se realiza servicio de alumbrado público inteligente operando </t>
  </si>
  <si>
    <t>Servicio de alumbrado público inteligente operando</t>
  </si>
  <si>
    <t>En el periodo 2021-2022 , se implementa un sistema de bicicletas publicas en el Distrito de Cali.</t>
  </si>
  <si>
    <t>Sistema de Bicicletas Públicas operando</t>
  </si>
  <si>
    <t>Sistema de Información Geográfica unificada para Cali implementado y/u operando</t>
  </si>
  <si>
    <t xml:space="preserve">En 2020 se cuenta con el diseño y el funcionamiento de una plataforma tecnológica para la Gestión de la Economía Circular </t>
  </si>
  <si>
    <t>Plataforma tecnológica para la Gestión de la Economía Circular diseñada y en funcionamiento</t>
  </si>
  <si>
    <t>En el periodo 2020-2023 26.000 personas han recibido formación, sensibilizació y/o prestación de servicios en el uso y apropiación de tecnologías de la información y la comunicación TIC y en el fortalecimiento de la Industria TI/SW</t>
  </si>
  <si>
    <t>Personas con formación, sensibilización y/o utilización de servicios en el uso y apropiación de tecnologías de la información y la comunicación TIC</t>
  </si>
  <si>
    <t>A 2023 se encuentran operando 32  Puntos de apropiación Digital  y laboratorios de innovación Digital.</t>
  </si>
  <si>
    <t>Puntos de apropiación digital y laboratorios de innovación digital operando</t>
  </si>
  <si>
    <t>Mantenimiento o cobertura</t>
  </si>
  <si>
    <t>En el periodo 2021-2023  se instalan 3 laboratorios que incentiven las Iniciativas de Ciencia, Tecnología e Innovación (CTI) de sectores productivos y de servicios de la ciudad</t>
  </si>
  <si>
    <t>Laboratorios que incentiven las Iniciativas de Ciencia, Tecnología e Innovación (CTI) de sectores productivos y de servicios de la ciudad, instalados</t>
  </si>
  <si>
    <t>Dutante el periodo 2021-2023 se han desarrollos 12 prototipos de innovación digital con respuesta a necesidades de ciudad.</t>
  </si>
  <si>
    <t>Prototipos de innovación digital con respuesta a necesidades de ciudad desarrollados</t>
  </si>
  <si>
    <t>En el período 2021-2023 el 100% de las conexiones físicas de Instituciones municipales pertenecientes a REMI se encuentran con mantenimiento</t>
  </si>
  <si>
    <t>Conexiones físicas de Instituciones Distritales pertenecientes a REMI con mantenimiento</t>
  </si>
  <si>
    <t>A 2023 se encuentra diseñado el equipamiento tecnológico para la operación del Centro de ciencia, tecnología e innovación digital al servicio de los ciudadanos.</t>
  </si>
  <si>
    <t>Centro de ciencia, tecnología e innovación digital al servicio de los ciudadanos con equipamiento tecnológico, operando</t>
  </si>
  <si>
    <t>A 2023 se ha formulado y adoptado 1 Política pública de economía digital.</t>
  </si>
  <si>
    <t>Política pública de economía digital formulada y adoptada</t>
  </si>
  <si>
    <t>Durante el periodo 2021-2023 se han implementado 2 estrategias para la promoción de la industria de contenidos digitales</t>
  </si>
  <si>
    <t>Estrategias para la promoción de la industria de contenidos digitales implementadas</t>
  </si>
  <si>
    <t>A 2023 se encuentra implementado un (1) modelo de teletrabajo en el distrito de Santiago de Cali</t>
  </si>
  <si>
    <t>Plataforma para teletrabajo en la Alcaldía de Santiago de Cali implementado</t>
  </si>
  <si>
    <t>En el periodo 2020 - 2023, hay 92 Instituciones educativas Oficiales con infraestructura de red y datos adecuada para la prestación del servicio</t>
  </si>
  <si>
    <t>Instituciones Educativas Oficiales con infraestructura de red y datos adecuada</t>
  </si>
  <si>
    <t>En el periodo 2020-2022 se apoyan 3 iniciativas de Tecnologias de Informacion y Comunicacion TICS para la promocion del turismo.</t>
  </si>
  <si>
    <t>Iniciativas de Tecnologías de la información y comunicación TICS para la promoción del turismo apoyadas</t>
  </si>
  <si>
    <t>Entre el 2020 y el 2023, Se llevará conexión a Internet a 60.000 hogares de estrato 1 y 2</t>
  </si>
  <si>
    <t>Clientes urbanos y de la zona rural de estratos 1 y 2 conectados a internet de EMCALI</t>
  </si>
  <si>
    <t>En el perioso 2020-2023, se instalará 37 nodos en Cali (uno por cada JAL) de conexión al portal virtual comunal</t>
  </si>
  <si>
    <t>Espacios comunitarios conectados al portal virtual comunal de EMCALI</t>
  </si>
  <si>
    <t>En el periodo 2020-2023, Se implementará un canal de TV Emcali comunitario</t>
  </si>
  <si>
    <t>Canal de TV Emcali Comunitario, implementado</t>
  </si>
  <si>
    <t>En el periodo 2021-2023 se apoyan 150 MiPymes industriales y de servicios en sus capacidades de desarrollo de innovación</t>
  </si>
  <si>
    <t>MiPymes industriales y de servicios en sus capacidades de desarrollo e innovación, apoyadas</t>
  </si>
  <si>
    <t>En el periodo 2020-2023, Se incrementarán la cantidad de zonas Wi-Fi en sitios públicos, hasta tener 200 nuevos.</t>
  </si>
  <si>
    <t>Zonas Wi-Fi en sitios públicos donde se incentiva el arte, la cultura y el deporte, operando</t>
  </si>
  <si>
    <t xml:space="preserve"> </t>
  </si>
  <si>
    <t>Creación de un Distrito de innovación – Distrito Naranja</t>
  </si>
  <si>
    <t/>
  </si>
  <si>
    <t>En 2021 se cuenta  con un proceso de circulación TIC diseñado</t>
  </si>
  <si>
    <t>Proceso de circulación TIC, diseñado</t>
  </si>
  <si>
    <t>En 2021 se cuenta con una plataforma de Difusión y Circulación del Talento TIC, en funcionamiento</t>
  </si>
  <si>
    <t>Plataforma de Difusión y Circulación del Talento TIC, en funcionamiento</t>
  </si>
  <si>
    <t>En el periodo 2021- 2023 se forman 3200 actores oferentes en capacidades TIC y se activan en la plataforma</t>
  </si>
  <si>
    <t>Actores oferentes de capacidades TIC formados y activos en la plataforma</t>
  </si>
  <si>
    <t>En el periodo 2021- 2023 se capacitan 400 empresas demandantes de capacidades TIC y se activan dentro del proceso</t>
  </si>
  <si>
    <t>Empresas demandantes de capacidades TIC capacitadas y activas dentro del proceso</t>
  </si>
  <si>
    <t xml:space="preserve"> En el periodo 2020- 2023 se implementa el Sistema inteligente de transporte en el SITM-MIO.</t>
  </si>
  <si>
    <t>Sistemas inteligentes de transporte en el SITM-MIO implementados</t>
  </si>
  <si>
    <t xml:space="preserve"> En el periodo 2020 - 2023, Se construye y opera un Centro de Monitoreo Ambiental, con plataforma de vigilancia y control</t>
  </si>
  <si>
    <t>Centro de Monitoreo Ambiental, con plataforma de vigilancia y control, construido y operando</t>
  </si>
  <si>
    <t>En el periodo 2021-2023 se implementan 200 intersecciones en el sistema de semaforización inteligente</t>
  </si>
  <si>
    <t>Intersecciones en el sistema de semaforización inteligente implementadas</t>
  </si>
  <si>
    <t>Durante el periodo 2020-2023 hay 15.000 mobiliarios urbanos con mantenimiento y reposicion en Santiago de Cali</t>
  </si>
  <si>
    <t>Mobiliario urbano instalado con mantenimiento y reposición</t>
  </si>
  <si>
    <t>En el periodo 2020-2023, se tendrá implementada infraestructura en Cloud con capacidad de almacenamiento y procesamiento de información para soportar los programas de educación y/o salud que así lo requieran.</t>
  </si>
  <si>
    <t>Almacenamiento y computación de información en la nube para las instituciones educativas y de salud públicas de Cali</t>
  </si>
  <si>
    <t>En el periodo 2020-2023, se instalarán 500 Km nuevos de Fibra Óptica</t>
  </si>
  <si>
    <t>Conectividad de la ciudad con fibra óptica</t>
  </si>
  <si>
    <t>Al 2021, Construir y entregar en Funcionamiento, un Piloto de Ciudad Inteligente, proyectado por EMCALI en la Ciudad de Cali.</t>
  </si>
  <si>
    <t>Avance piloto plazoleta inteligente EMCALI</t>
  </si>
  <si>
    <t>Al 2021, Construir y entregar en Funcionamiento, el Piloto de domicilios integrados a Territorios Inteligentes – Sector Llano Verde</t>
  </si>
  <si>
    <t>Avance piloto domicilios integrados a Territorios Inteligentes – Sector Llano Verde</t>
  </si>
  <si>
    <t>A 2023 se ecuentra implementada la estrategia de acceso y apropiación de las TIC</t>
  </si>
  <si>
    <t>Estrategia de acceso y apropiación de las TIC dirigidos a superar brechas de género con enfoque diferencial, incluido zonas rurales y urbanas; implementadas</t>
  </si>
  <si>
    <t>A diciembre de 2022 se automatizaran 5 procesos y trámites urbanísticos</t>
  </si>
  <si>
    <t>Procesos y trámites urbanísticos automatizados</t>
  </si>
  <si>
    <t>En el periodo 2021-2023 se han implementado 12 estrategias de uso y apropiación de TIC</t>
  </si>
  <si>
    <t>Estrategias de uso y apropiación de TIC implementadas</t>
  </si>
  <si>
    <t>En el período 2021-2023 se promueve la construcción de un parque que promueva las cocinas, bebidas tradicionales y artesanías del Pacífico, denominado “Parque Pacifico”</t>
  </si>
  <si>
    <t>Parque de las cocinas, bebidas tradicionales y artesanías del Pacífico “Parque Pacífico” construido</t>
  </si>
  <si>
    <t>En el periodo 2021-2023 se implementan 4 áreas de desarrollo naranja para fortalecer los sectores de las artes escénicas, patrimonio, gastronomía, artes visuales y digitales, audiovisual, diseño e innovación</t>
  </si>
  <si>
    <t>Áreas de Desarrollo Naranja en artes escénicas, patrimonio, gastronomía, artes visuales y digitales, audiovisual, diseño e innovación implementadas</t>
  </si>
  <si>
    <t xml:space="preserve">En el periodo 2021-2023 se fortalecen 150 emprendimientos y empresas de industrias creativas para la incubación, aceleración y sofisticación </t>
  </si>
  <si>
    <t>Emprendimientos y empresas de industrias creativas para la incubación, aceleración y sofisticación fortalecidos</t>
  </si>
  <si>
    <t>En el periodo 2021-2023 se fortalecen 4 mercados de Industrias Culturales y Creativas en su competitividad</t>
  </si>
  <si>
    <t>Mercados de industrias culturales y creativas fortalecidos en competitividad sostenible</t>
  </si>
  <si>
    <t>En el período 2020-2023 se apoyan 170 organizaciones, grupos, artistas y/o productores de espectáculos públicos de las artes escénicas, de conformidad con la Ley 1493 de 2011, y sus decretos reglamentarios</t>
  </si>
  <si>
    <t>Organizaciones, grupos, artistas y/o productores de espectáculos públicos de las artes escénicas apoyados</t>
  </si>
  <si>
    <t>Organizaciones de consumo cultural y creativo apoyadas</t>
  </si>
  <si>
    <t>En el periodo 2021-2023 se desarrollan 2 laboratorios de Innovación y  Emprendimiento para la Ciudad Creativa en Artes Digitales</t>
  </si>
  <si>
    <t>Laboratorios de innovación y emprendimientos en artes digitales desarrollados</t>
  </si>
  <si>
    <t>En el periodo 2021-2023 se fortalecen 1200 emprendimientos y empresas de la industria cultural y creativa con asistencia técnica</t>
  </si>
  <si>
    <t>Emprendimientos y empresas de la industria cultural y creativa de Cali beneficiados con asistencia técnica</t>
  </si>
  <si>
    <t>En el periodo 2021-2023 se apoyan 8 proyectos de inversión nacional y extranjera para el sector fílmico</t>
  </si>
  <si>
    <t>Proyectos de inversión nacional y extranjera para el sector fílmico apoyados</t>
  </si>
  <si>
    <t>En el periodo 2021-2023 se fortalecen 12 Clústeres de ciudad</t>
  </si>
  <si>
    <t>Clústeres de ciudad fortalecidos</t>
  </si>
  <si>
    <t>En el periordo 2020 - 2023 se cuenta con 200 pequeñas empresas conectadas y vinculadas comercialmente con empresas líderes de sectores productivos</t>
  </si>
  <si>
    <t>Pequeñas empresas conectadas y vinculadas comercialmente con empresas líderes de sectores productivos</t>
  </si>
  <si>
    <t>En el periodo 2021-2023 se consolidan 10 modelos asociativos empresariales</t>
  </si>
  <si>
    <t>Modelos asociativos empresariales consolidados</t>
  </si>
  <si>
    <t>En el periodo 2021-2023 50 pequeñas empresas cuentan con acceso a servicios de innovación</t>
  </si>
  <si>
    <t>Pequeñas empresas con acceso a servicios de innovación</t>
  </si>
  <si>
    <t>En el periodo 2021- 2023 se diseña e implementa la zona franca del deporte</t>
  </si>
  <si>
    <t>Zona franca del deporte, diseñada e implementada</t>
  </si>
  <si>
    <t>En el periodo 2021 se adopta la politica pública de turismo sostenible</t>
  </si>
  <si>
    <t>Política pública de turismo ajustada y adoptada</t>
  </si>
  <si>
    <t>En el periodo 2021-2023 se diseña e implementa una marca de ciudad</t>
  </si>
  <si>
    <t>Marca de Ciudad, diseñada e implementada</t>
  </si>
  <si>
    <t>En el periodo 2020-2023 se implementan 4 alianzas estratégicas para la promoción de la ciudad a nivel nacional e internacional</t>
  </si>
  <si>
    <t>Alianzas estratégicas implementadas para la promoción de la ciudad a nivel nacional e internacional</t>
  </si>
  <si>
    <t>Festivales de talla internacional realizados anualmente</t>
  </si>
  <si>
    <t xml:space="preserve">En el período 2021-2023 se promueve la circulación de 150 Artistas  a nivel internacional 
</t>
  </si>
  <si>
    <t>Artistas circulando a nivel internacional</t>
  </si>
  <si>
    <t>En el período 2020 - 2023, se realizan 100 eventos deportivos, recreativos y de innovación, locales, nacionales e internacionales.</t>
  </si>
  <si>
    <t>Eventos deportivos y recreativos de innovación locales, nacionales e internacionales, realizados</t>
  </si>
  <si>
    <t>En el período 2020 - 2023, se entregan 300 apoyos a clubes, ligas y deportistas apoyados para el desarrollo del distrito deportivo</t>
  </si>
  <si>
    <t>Ligas, clubes y deportistas para el desarrollo del distrito deportivo, apoyados</t>
  </si>
  <si>
    <t>En el período 2021-2023 se han realizado 8 Ferias y Eventos de Innovación Digital y TI para el desarrollo de la Economía Digitall.</t>
  </si>
  <si>
    <t>Ferias y Eventos de Innovación Digital y TI para el desarrollo de la Economía Digital realizadas</t>
  </si>
  <si>
    <t>En el periodo 2020-2023 se implementan (2) Parques de Experiencia Turística: Cristo Rey y Pance</t>
  </si>
  <si>
    <t>Parques de experiencia turística diseñados e implementados</t>
  </si>
  <si>
    <t>En el periodo 2020-2023 se desarrollan siete (7) productos turisticos relevantes de Cali</t>
  </si>
  <si>
    <t>Productos turísticos desarrollados</t>
  </si>
  <si>
    <t>En el periodo 2021-2023 se apoyan 10 iniciativas de turismo al barrio</t>
  </si>
  <si>
    <t>Iniciativas de "Turismo al barrio" y turismo comunitario rural apoyadas</t>
  </si>
  <si>
    <t>En el periodo 2020-2023 se apoyan 10 eventos y/o ferias para la promoción de Cali como destino turístico</t>
  </si>
  <si>
    <t>Eventos y/o ferias del sector turístico apoyados</t>
  </si>
  <si>
    <t>En el periodo 2021-2023 se realizan 6 Viajes de familiarización y prensa</t>
  </si>
  <si>
    <t>Viajes de familiarización y prensa realizados</t>
  </si>
  <si>
    <t>En el periodo 2020-2023 se realizan diez (10) ruedas de negocios de bienes y servicios turisticos</t>
  </si>
  <si>
    <t>Ruedas de negocios turísticos realizadas</t>
  </si>
  <si>
    <t>En el periodo 2021-2023 se asisten 4 misiones comerciales turisticas</t>
  </si>
  <si>
    <t>Participaciones del Distrito en misiones comerciales de turismo</t>
  </si>
  <si>
    <t>En el periodo 2020-2023 se realizan 24 acciones de plan de medios a nivel nacional e internacional</t>
  </si>
  <si>
    <t>Plan de medios, nacional e internacional implementado</t>
  </si>
  <si>
    <t>En el 2021 se apoyan 10 zonas turisticas en el marco de la Copa America y Juegos Panamericanos apoyados</t>
  </si>
  <si>
    <t>Zonas turísticas activadas en el marco de la Copa América y Juegos Panamericanos Junior</t>
  </si>
  <si>
    <t>En el periodo 2022-2023 se cofinancian 5 proyectos de ciudad con componente turistico</t>
  </si>
  <si>
    <t>Proyectos de ciudad con componentes turísticos cofinanciados</t>
  </si>
  <si>
    <t>En el periodo de 2020-2023 se benefician 1330 personas de grupos vulnerables de las comunas y corregimientos con iniciativas de turismo social</t>
  </si>
  <si>
    <t>Personas de grupos vulnerables de las comunas y corregimientos beneficiadas con iniciativas de turismo social</t>
  </si>
  <si>
    <t>En el periodo 2020-2023 se apoyan 3 eventos de turismo de negocios MICE - SMERF</t>
  </si>
  <si>
    <t>Eventos de turismo de negocios MICE - SMERF apoyados</t>
  </si>
  <si>
    <t>Marca Destino Turístico Desarrollada</t>
  </si>
  <si>
    <t>En el periodo 2021-2023 se implementan 3 acciones turisticas en el cerro de las Tres Cuces</t>
  </si>
  <si>
    <t>Acciones de fortalecimiento turístico en el cerro de las tres cruces implementadas</t>
  </si>
  <si>
    <t>En el periodo 2020-2023 se realiza un espectáculo visual y luminoso de alumbrado navideño anual</t>
  </si>
  <si>
    <t>Espectáculos anuales visuales y luminosos de alumbrado navideño</t>
  </si>
  <si>
    <t>En el periodo 2020-2023 se implementa un programa de incentivos y estímulos del sector turistico</t>
  </si>
  <si>
    <t>Programa de incentivos y estímulos del sector turístico implementado</t>
  </si>
  <si>
    <t>En el periodo 2022-2023 se gestionará un programa intersectorial para la promoción del centro historico</t>
  </si>
  <si>
    <t>Programa intersectorial para la promoción del turismo en el Centro Histórico</t>
  </si>
  <si>
    <t xml:space="preserve">En el periodo 2020-2023 se forman 8000 personas en competencias laborales para la inserción en los sectores de mayor demanda del mercado laboral, con enfoque diferencial, de género y generacional </t>
  </si>
  <si>
    <t>Personas formadas en competencias laborales para la inserción en los sectores de mayor demanda del mercado laboral, con enfoque diferencial, de género y generacional</t>
  </si>
  <si>
    <t>En el periodo 2020-2023 se forman a 1000 prestadores de servicios turísticos</t>
  </si>
  <si>
    <t>Prestadores de servicios turísticos formados</t>
  </si>
  <si>
    <t>Entidades públicas y/o privadas sensibilizadas en enfoque diferencial y de género que promuevan buenas prácticas de inclusión desarrollo humano y autonomía económica</t>
  </si>
  <si>
    <t>En el periodo 2021-2023 se vincluan 10.500 personas a rutas para la inserción laboral</t>
  </si>
  <si>
    <t>Personas vinculadas a rutas para la inserción laboral</t>
  </si>
  <si>
    <t>En el periodo 2021-2023 se forman 800 víctimas del conflicto armado como técnicos laborales por competencias</t>
  </si>
  <si>
    <t>Víctimas del conflicto armado formadas como técnicos laborales por competencias</t>
  </si>
  <si>
    <t>En el periodo 2020-2023 se fortalecen 9000 personas en el ecosistema de emprendimiento empresarial y social con enfoque diferencial y de género</t>
  </si>
  <si>
    <t>Personas fortalecidas en el ecosistema de emprendimiento empresarial y social con enfoque diferencial y de género</t>
  </si>
  <si>
    <t>En el período 2020 - 2023, se intervienen 500 Clubes deportivos reglamentados y asesorados para el emprendimiento</t>
  </si>
  <si>
    <t>Clubes deportivos asesorados para el emprendimiento</t>
  </si>
  <si>
    <t>En el periodo 2020 - 2023 se ponen en funcionamiento 10 Centros para el Emprendimiento y Desarrollo Empresarial y Social CEDES</t>
  </si>
  <si>
    <t>Centros para el Emprendimiento y Desarrollo Empresarial y Social CEDES, en funcionamiento</t>
  </si>
  <si>
    <t>En el periodo 2021 - 2023 se capacitan 300 docentes de entidades públicas para el emprendimiento y la economía social y solidaria</t>
  </si>
  <si>
    <t>Docentes de entidades públicas capacitados para el emprendimiento y la economía social y solidaria</t>
  </si>
  <si>
    <t>En el periodo 2021 - 2023 se desarrollarán 13 experiencias de fortalecimiento empresarial para mercados competitivos</t>
  </si>
  <si>
    <t>Experiencias de fortalecimiento empresarial para mercados competitivos, desarrolladas</t>
  </si>
  <si>
    <t xml:space="preserve">En el periodo 2021 - 2023 se vinculan 1200 Víctimas del conflicto armado  a programas de emprendimiento empresarial y social </t>
  </si>
  <si>
    <t>Víctimas del conflicto armado vinculadas a programas de emprendimiento empresarial y social</t>
  </si>
  <si>
    <t>En 2022 se cuenta con un programa estudiantil de emprendimientos orientados, formalizados y apoyados</t>
  </si>
  <si>
    <t>Programa estudiantil de emprendimientos orientados, formalizados y apoyados</t>
  </si>
  <si>
    <t>En 2021 se elaboran 2  diagnósticos de la economía solidaria y de la economía colaborativa</t>
  </si>
  <si>
    <t>Diagnósticos de la economía solidaria y de la economía colaborativa elaborados</t>
  </si>
  <si>
    <t>En 2022 se formula y se adopta la política pública para la economía solidaria</t>
  </si>
  <si>
    <t>Política pública para la economía solidaria formulada y adoptada</t>
  </si>
  <si>
    <t>En el periodo 2022-2023 se diseñan y se ponen en funcionamiento 2 Plataformas colaborativas.</t>
  </si>
  <si>
    <t>Plataformas colaborativas diseñadas y puestas en funcionamiento</t>
  </si>
  <si>
    <t>En el periodo 2021-2023 se brinda acompañamiento productivo a 150 personas en proceso de reincorporación, reintegración, desvinculados del conflicto armado, para la generación de ingresos</t>
  </si>
  <si>
    <t>Personas en proceso de reincorporación, reintegración, desvinculados del conflicto armado con acompañamiento productivo para la generación de ingresos</t>
  </si>
  <si>
    <t>Organizaciones del sector solidario fomentadas y fortalecidas en capacidades técnicas, administrativas y productivas</t>
  </si>
  <si>
    <t>En el periodo 2020-2023 se forman 1500 personas en competencias financieras y economía solidaria</t>
  </si>
  <si>
    <t>Personas formadas en competencias financieras y de Economía Solidaria</t>
  </si>
  <si>
    <t>En 2021 se crea el Fondo Solidario y de Oportunidades</t>
  </si>
  <si>
    <t>Creación del Fondo Solidario y de Oportunidades</t>
  </si>
  <si>
    <t>En el periodo 2020-2023 se fortalecen 3000 unidades productivas en economía solidaria</t>
  </si>
  <si>
    <t>Unidades productivas fortalecidas con créditos solidarios</t>
  </si>
  <si>
    <t>En 2021 se diseña e implementa una estrategia de economía solidaria para trabajadores en situación de informalidad</t>
  </si>
  <si>
    <t>Estrategia de economía solidaria para trabajadores en situación de informalidad diseñada e implementada</t>
  </si>
  <si>
    <t xml:space="preserve">En el periodo 2021-2023 se atienden 20 unidades productivas rurales para la comercialización de los productos agrícolas  </t>
  </si>
  <si>
    <t>Unidades productivas rurales atendidas para la comercialización de los productos agrícolas</t>
  </si>
  <si>
    <t>En el periodo 2020-2023 se realizan 30 mercados agroecológicos y campesinos</t>
  </si>
  <si>
    <t>Mercados agroecológicos y campesinos realizados</t>
  </si>
  <si>
    <t>En el periodo 2020-2023 se diseña e implementa un Modelo de operación de las plazas de mercado</t>
  </si>
  <si>
    <t>Sistema de operación de las plazas de mercado diseñado e implementado</t>
  </si>
  <si>
    <t>En el período 2020 - 2023 se mantienen en condiciones óptimas 3 plazas de mercado de propiedad del Distrito de Santiago de Cali</t>
  </si>
  <si>
    <t>Plazas de mercado con infraestructura mantenida</t>
  </si>
  <si>
    <t>Plazas de mercado incorporadas al Distrito</t>
  </si>
  <si>
    <t xml:space="preserve">En el periodo 2021-2023 se cuenta con un Centro de acopio  para la recepción y distribución de producción alimentaria rural, en funcionamiento </t>
  </si>
  <si>
    <t>Centro de acopio para la recepción y distribución de producción alimentaria rural, en funcionamiento</t>
  </si>
  <si>
    <t>En 2022 se elabora  un plan estratégico para el fortalecimiento de la autonomía económica de las mujeres de la ruralidad</t>
  </si>
  <si>
    <t>Plan estratégico para el fortalecimiento de la autonomía económica de las mujeres de la ruralidad, elaborado</t>
  </si>
  <si>
    <t>En el periodo 2020 - 2023, se asisten 800 pequeños y medianos productores urbanos y rurales en producción agropecuaria con enfoque agro ecológico, para fortalecer la seguridad y soberanía alimentaria</t>
  </si>
  <si>
    <t>Familias de pequeños y medianos productores rurales y huerteros urbanos, con asistencia técnica para la producción agropecuaria con enfoque agroecológico, para fortalecer la seguridad y soberanía alimentaria con enfoque diferencial y de género</t>
  </si>
  <si>
    <t>En el periodo 2022-2023 se implementa un equipamiento de abastecimiento  alimentario en el oriente</t>
  </si>
  <si>
    <t>Equipamiento de Abastecimiento Alimentario en el oriente, implementado</t>
  </si>
  <si>
    <t>Establecimientos de comercio nocturno vinculados al proceso de certificación de buenas prácticas de seguridad</t>
  </si>
  <si>
    <t>Permisos de eventos de aglomeraciones públicas expedidos en línea</t>
  </si>
  <si>
    <t>En el periodo 2020 - 2023 se sensibilizan a 4000 agentes del mercado (productores, comercializadores y consumidores) en normas de protección al consumidor.</t>
  </si>
  <si>
    <t>Agentes del mercado sensibilizados en normas de protección al consumidor</t>
  </si>
  <si>
    <t>5102 Economía Incluyente, Creativa y Clústeres Estratégicos</t>
  </si>
  <si>
    <t>5102001 Territorios Creativos</t>
  </si>
  <si>
    <t>5102002 Territorios Competitivos</t>
  </si>
  <si>
    <t>5103 Posicionamiento Local en el Ámbito Internacional</t>
  </si>
  <si>
    <t>5103001 Marca de Ciudad para un Distrito Especial</t>
  </si>
  <si>
    <t>5104 Empleabilidad y Emprendimiento</t>
  </si>
  <si>
    <t>5104001 Empleabilidad con Enfoque Diferencial y de Género</t>
  </si>
  <si>
    <t>5104002 Fortalecimiento al Ecosistema del Emprendimiento Empresarial y Social</t>
  </si>
  <si>
    <t>5105 Economía Solidaria y del Bien Colectivo</t>
  </si>
  <si>
    <t>5105001 Economía Solidaria, Colaborativa y Fondo de Oportunidades</t>
  </si>
  <si>
    <t>5105002 Fortalecimiento a las Unidades Productivas Rurales y Mercados de Paz</t>
  </si>
  <si>
    <t>5105003 Defensa del Consumidor</t>
  </si>
  <si>
    <t>Departamento Administrativo de Tecnología de la información y las Telecomunicaciones</t>
  </si>
  <si>
    <t>Secretaría de Cultura</t>
  </si>
  <si>
    <t>Secretaría de Salud Pública</t>
  </si>
  <si>
    <t>Secretaría de Turismo</t>
  </si>
  <si>
    <t>Secretaría de Educación</t>
  </si>
  <si>
    <t>Unidad Administrativa Especial de Servicios Públicos - UAESP</t>
  </si>
  <si>
    <t>Departamento Administrativo de Contratación Pública</t>
  </si>
  <si>
    <t>Departamento Administrativo de Desarrollo  e Innovación Institucional</t>
  </si>
  <si>
    <t>Secretaría de Movilidad</t>
  </si>
  <si>
    <t>Departamento Administrativo de Planeación</t>
  </si>
  <si>
    <t>Secretaría de Desarrollo Económico</t>
  </si>
  <si>
    <t>EMCALI</t>
  </si>
  <si>
    <t>EMRU</t>
  </si>
  <si>
    <t>Metro Cali</t>
  </si>
  <si>
    <t>Departamento Administrativo de Gestión del Medio Ambiente – DAGMA</t>
  </si>
  <si>
    <t>Secretaría del Deporte y la Recreación</t>
  </si>
  <si>
    <t>Secretaría de Bienestar Social</t>
  </si>
  <si>
    <t>Unidad Administrativa Especial de Gestión de Bienes y Servicios</t>
  </si>
  <si>
    <t>Secretaría de Seguridad y Justicia</t>
  </si>
  <si>
    <t>Número</t>
  </si>
  <si>
    <t>Porcentaje</t>
  </si>
  <si>
    <t>km</t>
  </si>
  <si>
    <t>ha</t>
  </si>
  <si>
    <t>m2</t>
  </si>
  <si>
    <t>m</t>
  </si>
  <si>
    <t>m3</t>
  </si>
  <si>
    <t>Millones de pesos</t>
  </si>
  <si>
    <t>V1</t>
  </si>
  <si>
    <t xml:space="preserve">V1 = Número de Edificios de Cali Inteligente en el área de desarrollo naranja de Ciudad Paraíso </t>
  </si>
  <si>
    <t>V1= Bibliotecas y espacio culturales interconectados</t>
  </si>
  <si>
    <t>V1= Número de equipamientos inteligentes operando.</t>
  </si>
  <si>
    <t>V1= Número de Kilómetros de fibra óptica de la Red Municipal Integrada – REMI, operando eficientemente</t>
  </si>
  <si>
    <t>(V1 x 0,10) + 
(V2 x 0,10)+
(V3 x 0,10)+
(V4 x 0,10) +
(V5 x 0,60)</t>
  </si>
  <si>
    <t>V1: Señaléticas instaladas</t>
  </si>
  <si>
    <t>V1: Número de Puntos de Apropiación Digital (PAD) dotados con herramientas TI para población con discapacidad.</t>
  </si>
  <si>
    <t>V1: Número de Zonas públicas con acceso gratuito a internet al servicio del ciudadano</t>
  </si>
  <si>
    <t>V1=Docentes y directivos docentes con acompañamiento didáctico y curricular en estrategias pedagógicas mediadas por TIC</t>
  </si>
  <si>
    <t>V1=Luminarias con nuevas tecnologías de mayor eficiencia energética</t>
  </si>
  <si>
    <t>M=V1+V2+V3</t>
  </si>
  <si>
    <t>V1: Lineamiento de compra pública para la innovacion
V2: Acompañamieto y seguimiento a los procesos de contratación implementados con enfoque de compra pública para la innovación
V3: Analisis de resultado y lecciones aprendidas de los procesos implementados</t>
  </si>
  <si>
    <t>V1: Plataforma de integración de servicios al ciudadano</t>
  </si>
  <si>
    <t>V1=Plan Maestro de Alumbrado Público elaborado</t>
  </si>
  <si>
    <t>V1=Servicio de alumbrado público inteligente operando</t>
  </si>
  <si>
    <t>V1=sistema de bicicletas publicas implementado</t>
  </si>
  <si>
    <t>V1= Sistema de Información Geográfica unificada para Cali implementado y/u operando</t>
  </si>
  <si>
    <t>V1= Plataforma tecnológica para la Gestión de la Economía Circular diseñada y en funcionamiento</t>
  </si>
  <si>
    <t>V1 + V2 + V3</t>
  </si>
  <si>
    <t>V1: Número de personas con formación en tecnologías de la información y la comunicación TIC
 V2: Número de personas con sensibilización en tecnologías de la información y la comunicación TIC
 V3: Número de personas que utilizan tecnologías de la información y la comunicación TIC</t>
  </si>
  <si>
    <t>V1: Número de Puntos de apropiación Digital y laboratorios de innovación Digital operando.</t>
  </si>
  <si>
    <t xml:space="preserve">V1=Laboratorios que incentiven las iniciativas de CTI instalados </t>
  </si>
  <si>
    <t>V1: Número de prototipos de innovación digital con respuesta a necesidades de ciudad desarrollados</t>
  </si>
  <si>
    <t>(V1/V2)*100%</t>
  </si>
  <si>
    <t>V1: Número de conexiones físicas de Instituciones municipales pertenecientes a REMI con mantenimiento 
 V2: Número total de conexiones físicas de Instituciones municipales pertenecientes a REMI</t>
  </si>
  <si>
    <t>V1: Número de Centros de ciencia, tecnología e innovación digital al servicio de los ciudadanos, con equipamiento tecnológico para su operación diseñado.</t>
  </si>
  <si>
    <t>V1 + V2</t>
  </si>
  <si>
    <t>V1: Política pública de economía digital formulada (0,8)
 V2: Política pública de economía digital adoptada (0,2)</t>
  </si>
  <si>
    <t>((V1 + V2) / 2)*100</t>
  </si>
  <si>
    <t>V1: Porcentaje de avance de la estrategia No.  1
V1: Porcentaje de avance de la estrategia No.  2</t>
  </si>
  <si>
    <t>V1: Número de modelos de teletrabajo en el diatrito de Santiago de Cali</t>
  </si>
  <si>
    <t>V1= IEO con infraestructura de red y datos adecuada para la prestación del servicio</t>
  </si>
  <si>
    <t>∑ V1</t>
  </si>
  <si>
    <t>V1 = Hogares estrato 1 y 2 de Cali conectados a Internet.</t>
  </si>
  <si>
    <t>V1=Cantidad de Espacios comunitarios conectadas al portal virtual comunal</t>
  </si>
  <si>
    <t>V1 / V2*100</t>
  </si>
  <si>
    <t>V1= Numero Etapas Ejecutadas
V2= Numero Etapas Proyectadas</t>
  </si>
  <si>
    <t>V1+V2</t>
  </si>
  <si>
    <t>V1=MiPymes industriales
V2=MiPymes de servicios</t>
  </si>
  <si>
    <t>V1 = Zonas con Wi-Fi en sitios públicos</t>
  </si>
  <si>
    <t>V1 = Acto administrativo distrito de innovación</t>
  </si>
  <si>
    <t>V1= Proceso TIC diseñado</t>
  </si>
  <si>
    <t>V1=Plataforma Circulacion TIC en funcionamiento</t>
  </si>
  <si>
    <t>V1= Personas formadas y activas en la plataforma</t>
  </si>
  <si>
    <t>V1=Empresas capacitadas y activas dentro del proceso</t>
  </si>
  <si>
    <t>V= (V1/V2)*100</t>
  </si>
  <si>
    <t xml:space="preserve"> V1= Estrategias implementadas
V2= total de estrategias definidas para el periodo</t>
  </si>
  <si>
    <t>V1 + V2 +V3 + V4</t>
  </si>
  <si>
    <t>V1 = levantamiento de información en GAE. (25%)
V2 = levantamiento de información en GIRH. (25%)
V3=  Diseño de la Plataforma. (25%)
V4 = centro de control implementado y operando. (25%)</t>
  </si>
  <si>
    <t>V1=intersecciones en el sistema de semaforización inteligente implementada</t>
  </si>
  <si>
    <t>V1= Mobiliario urbano instalado con mantenimiento y reposición</t>
  </si>
  <si>
    <t>V1: Km de fibra óptica instalada</t>
  </si>
  <si>
    <t>V1= Avance cronograma CURVA S de piloto plazoleta inteligente</t>
  </si>
  <si>
    <t>V1= Avance cronograma CURVA S de piloto domicilios integrados a Territorios Inteligentes</t>
  </si>
  <si>
    <t>V1:Estrategia de acceso y apropiación de las TIC dirigidos a superar brechas de género con enfoque diferencial, incluido zonas rurales y urbanas</t>
  </si>
  <si>
    <t>V1= Procesos y trámites urbanísticos automatizados</t>
  </si>
  <si>
    <t>V1: Número de Estrategias de uso y apropiación de TIC implementadas</t>
  </si>
  <si>
    <t>V1= Parque de las cocinas, bebidas tradicionales y artesanías del Pacífico construido. “Parque Pacifico”</t>
  </si>
  <si>
    <t>V1= Areas de desarrollo naranja</t>
  </si>
  <si>
    <t>V=V1+V2</t>
  </si>
  <si>
    <t>V1= Emprendimientos
V2= Empresas</t>
  </si>
  <si>
    <t>V1= Mercados de Industrias Culturales y Creativas fortalecidos</t>
  </si>
  <si>
    <t>V1= Organizaciones, grupos, artistas y/o productores espectáculos públicos de las artes escénicas apoyados</t>
  </si>
  <si>
    <t>V1= Organizaciones de consumo cultural y cretativo</t>
  </si>
  <si>
    <t>V1= Laboratorios desarrollados</t>
  </si>
  <si>
    <t xml:space="preserve">V1= Emprendimientos  de la industria cultural y creativa 
V2 =Empresas de la industria cultural y creativa </t>
  </si>
  <si>
    <t>V1= Proyectos de inversión nacional 
V2= Proyectos de inversión extranjera</t>
  </si>
  <si>
    <t xml:space="preserve">V1=Clústeres de ciudad </t>
  </si>
  <si>
    <t xml:space="preserve">V1=Pequeñas empresas conectadas y vinculadas comercialmente con empresas líderes de sectores productivos  </t>
  </si>
  <si>
    <t>V1= Modelos asociativos consolidados</t>
  </si>
  <si>
    <t>V1=Pequeñas empresas con acceso a servicios de innovación</t>
  </si>
  <si>
    <t>V1=Diseño de la zona franca del deporte
V2= Implementación de la zona franca del deporte</t>
  </si>
  <si>
    <t>V1*0,8+V2*0,2</t>
  </si>
  <si>
    <t>V1: Documento de Ajuste de la Politica Publica
V2: Adopcion</t>
  </si>
  <si>
    <t>V2/V1</t>
  </si>
  <si>
    <t>V1+V2+V3</t>
  </si>
  <si>
    <t>V1=Eventos de promoción de la Marca Ciudad a nivel Nacional e Internacional.
V2=Eventos estrategicos de los sectores economicos priorizados.
V3=Viajes de Familiarización con Actores Estrategicos a Nivel Nacional e Internacional.</t>
  </si>
  <si>
    <t>V1= Festivales de talla internacional realizados anualmente</t>
  </si>
  <si>
    <t>V1= Artistas circulando a nivel internacional</t>
  </si>
  <si>
    <t>V1=Eventos deportivos,  recreativos y de innovación locales
V2= Eventos deportivos, recreativos y de innovación nacionales
V3= Eventos deportivos, recreativos y de innovación internacionales</t>
  </si>
  <si>
    <t>V1= Apoyo a clubes para el desarrollo del distrito deportivo
V2= Apoyo a ligas para el desarrollo del distrito deportivo
V3= Apoyo a deportistas para el desarrollo del distrito deportivo</t>
  </si>
  <si>
    <t>V1: Número de Ferias y Eventos de Innovación Digital y TI para el desarrollo de la Economía Digital realizadas</t>
  </si>
  <si>
    <t>((V1*0,40)+(V2*0,60)+(V3*0,40)+(V4*0,60))/2</t>
  </si>
  <si>
    <t>V1: Productos turisticos desarrollados</t>
  </si>
  <si>
    <t>V1: Iniciativas de turismo al barrio apoyadas</t>
  </si>
  <si>
    <t>V1: Eventos y/o ferias para la promoción turística apoyados</t>
  </si>
  <si>
    <t>V1: Viajes de familiarización y prensa realizadas</t>
  </si>
  <si>
    <t>V1: Ruedas de negocios turísticos realizadas</t>
  </si>
  <si>
    <t xml:space="preserve">V1: Misiones comerciales turísticas asisitidas
</t>
  </si>
  <si>
    <t>V1: Acciones del plan de medios de comunicación realizadas</t>
  </si>
  <si>
    <t>V1: Zonas turisticas activadas</t>
  </si>
  <si>
    <t>V1: Proyectos de ciudad con componente turistico cofinanciados</t>
  </si>
  <si>
    <t>V1: Personas de grupos vulnerables de las comunas y corregimientos beneficiadas con iniciativas de turismo social</t>
  </si>
  <si>
    <t>V1: Eventos de turismo de negocios MICE-SMERF apoyados</t>
  </si>
  <si>
    <t>V1: Acciones para la marca de destino turistico desarrolladas</t>
  </si>
  <si>
    <t>V1: Acciones turisticas en el cerro de las Tres Cruces implementadas</t>
  </si>
  <si>
    <t>V1=Espectáculos anuales visuales y luminosos de alumbrado navideño realizados</t>
  </si>
  <si>
    <t>V1: Acciones implementadas del programa de incentibos y estimulos</t>
  </si>
  <si>
    <t>V1: Acciones gestionadas del programa intersectorial de promoción del centro historico</t>
  </si>
  <si>
    <t>V1= Personas formadas en competencias laborales</t>
  </si>
  <si>
    <t>V1: Prestadores de servicios turísticos formados</t>
  </si>
  <si>
    <t>V1+ V2</t>
  </si>
  <si>
    <t>V1= Personas con participación en Ferias de servicios laborales
V2= Personas con participación en Jornadas de empleo</t>
  </si>
  <si>
    <t>V1= Victimas del conflicto armado formadas como técnico laboral por competencias</t>
  </si>
  <si>
    <t>V1+V2+V3+V4</t>
  </si>
  <si>
    <t>V1=Personas vinculadas en la etapa de ideación. 
V2= Personas vinculados a la etapa de arranque. 
V3= Personas vinculados a la etapa de crecimiento. 
V4= Personas vinculados a la etapa de consolidación</t>
  </si>
  <si>
    <t xml:space="preserve">V1 </t>
  </si>
  <si>
    <t>V1= Clubes deportivos asesorados para el emprendimiento</t>
  </si>
  <si>
    <t>V1= Centros para el Emprendimiento y Desarrollo Empresarial y Social CEDES</t>
  </si>
  <si>
    <t>V1=Docentes de instituciones educativas públicas vinculados en el programa</t>
  </si>
  <si>
    <t>V1= Experiencias de fortalecimiento empresarial desarrolladas</t>
  </si>
  <si>
    <t xml:space="preserve">V1= Víctimas del conflicto armado  vinculadas a programas de emprendimiento empresarial y social </t>
  </si>
  <si>
    <t>V1=Programa estudiantil de emprendimientos orientados, formalizados y apoyados</t>
  </si>
  <si>
    <t>V1=Diagnóstico de la Economía Solidaria
V2=Diagnóstico de la Economía Colaborativa</t>
  </si>
  <si>
    <t>V1= Política Pública de Economía Solidaria</t>
  </si>
  <si>
    <t>(V2/V1)*100</t>
  </si>
  <si>
    <t>V1=Plataforma colaborativa funcionando 
V2=Plataforma colaborativa diseñada</t>
  </si>
  <si>
    <t>V1=Personas en proceso de reincorporación, reintegración, desvinculados del conflicto armado</t>
  </si>
  <si>
    <t>V1=Organizaciones cooperativas y solidarias fortalecidas</t>
  </si>
  <si>
    <t>V1= Personas formadas en competencias financieras y de Economía Solidaria</t>
  </si>
  <si>
    <t>V1= Fondo Solidario y de oportunidades creados</t>
  </si>
  <si>
    <t>V1= Unidades productivas  fortalecidas en economía solidaria</t>
  </si>
  <si>
    <t xml:space="preserve">V1=Estrategia de economía solidaria para trabajadores en situación de informalidad diseñada e implementada </t>
  </si>
  <si>
    <t>V1= Unidades productivas rurales atendidas para la comercialización de productos agrícolas</t>
  </si>
  <si>
    <t xml:space="preserve">V1= Mercados Agroecológicos 
V2= Mercados Campesinos </t>
  </si>
  <si>
    <t>(V1/V2)*100</t>
  </si>
  <si>
    <t xml:space="preserve">V1= Fase del sistema
V2=Total del modelo 
</t>
  </si>
  <si>
    <t>V1= Plazas de mercado con infraestructura mantenida</t>
  </si>
  <si>
    <t>V1= Plazas de mercado incorporadas</t>
  </si>
  <si>
    <t>V1= Fase de diseño e implementación 
V2= Centro de Acopio en funcionamiento</t>
  </si>
  <si>
    <t>V1=Plan estratégico para el fortalecimiento de la autonomía económica de las mujeres de la ruralidad</t>
  </si>
  <si>
    <t>V1 = Número de familias de pequeños y medianos productores rurales y huerteros urbanos, con asistencia técnica para la producción agropecuaria con enfoque agro ecológico.</t>
  </si>
  <si>
    <t>V1= Fase de estudios y diseño
V2=Fase de implementación</t>
  </si>
  <si>
    <t>V1= Establecimientos vinculados</t>
  </si>
  <si>
    <t>V1= Permisos expedidos en línea</t>
  </si>
  <si>
    <t>V1= Agentes de mercado sensibilizados</t>
  </si>
  <si>
    <t>0.3*V1+0,4*V2+0.3*V3</t>
  </si>
  <si>
    <t>V1= Niños, niñas adolecentes y jóvenes sensibilizados para la prevención de los delitos de desaparición, trata, reclutamiento forzado, uso y utilización de menores</t>
  </si>
  <si>
    <t>V1=Personas que participan en la promoción y protección de Derechos Humanos, la naturaleza, los seres sintientes y la prevención de sus vulneraciones</t>
  </si>
  <si>
    <t>V1=Espacios de diálogo, reconciliación, construcción de paz y Cuidado de la Casa Común creados</t>
  </si>
  <si>
    <t>V1=Personas en proceso de reincorporación, reintegración, desvinculados del conflicto armado con orientación social, política y comunitaria</t>
  </si>
  <si>
    <t>V1=Museo de la Casa de las Memorias del Conflicto y la Reconciliación adecuado, equipado y en operación en el territorio</t>
  </si>
  <si>
    <t>V1=Plan de paz y convivencia pacífica implementado</t>
  </si>
  <si>
    <t>V1=Iniciativas de justicia comunitaria para la prevención y transformación de conflictos, implementadas</t>
  </si>
  <si>
    <t>V1*0,5 + V2*0,5</t>
  </si>
  <si>
    <t>V1=Plan municipal de reincorporación y Reconciliación formulado.
 V2=Plan municipal de reincorporación y Reconciliación implementado.</t>
  </si>
  <si>
    <t>V1= Iniciativas institucionales de prevención y promoción de la vulneración de derechos humanos en Salud y en salud mental</t>
  </si>
  <si>
    <t xml:space="preserve">  V1=Red de defensoras y defensores populares de DDHH y construcción de paz urbana implementada</t>
  </si>
  <si>
    <t xml:space="preserve"> V1=Iniciativas de prevención, promoción y protección ante la feminización de la vulneración de los Derechos Humanos y del DIH, desarrolladas</t>
  </si>
  <si>
    <t xml:space="preserve"> V1=Política pública de paz y reconciliación, adoptada</t>
  </si>
  <si>
    <t xml:space="preserve"> V1=Ruta para la protección de las violencias individuales y colectivas contra líderes y lideresas de procesos, organizaciones y movimientos sociales</t>
  </si>
  <si>
    <t>Numero</t>
  </si>
  <si>
    <t xml:space="preserve">V1= Sedes de las IEO con programa de mediación escolar implementado y funcionando </t>
  </si>
  <si>
    <t>V1=Espacios intersectoriales e interinstitucionales coordinados en estrategias de corresponsabilidad y cooperación en la consolidación de la paz territorial</t>
  </si>
  <si>
    <t>V1= Personas sensibilizadas</t>
  </si>
  <si>
    <t>V1= Personas participantes</t>
  </si>
  <si>
    <t xml:space="preserve">V1= IEO con escuelas de familia que incorporan el enfoque de derecho, género y respeto por la casa común y otros seres sintientes </t>
  </si>
  <si>
    <t xml:space="preserve">V1=IEO que cuentan con apoyo psicosocial para la salud mental </t>
  </si>
  <si>
    <t xml:space="preserve"> V1=Instituciones Educativas Oficiales que fortalecen estrategias distritales en educación para la paz y gestión dialógica del conflicto</t>
  </si>
  <si>
    <t>V1= IEO que participan en la implementación del observatorio de convivencia escolar.</t>
  </si>
  <si>
    <t>V1*0,6+V2*0,3+V3*0,1</t>
  </si>
  <si>
    <t>V1 = Personas intervenidas con estrategias en salud para la promoción de la convivencia, el fortalecimiento del tejido social y el abordaje de las violencias, con perspectiva de género</t>
  </si>
  <si>
    <t xml:space="preserve"> V1= Estrategias encaminadas a promover una cultura de paz interespecie y disminuir la violencia hacia los animales no humanos</t>
  </si>
  <si>
    <t>V1= Politica Pública formulada y adoptada</t>
  </si>
  <si>
    <t>V1=Zonas intervenidas</t>
  </si>
  <si>
    <t>V1=Agencias apoyadas</t>
  </si>
  <si>
    <t>V1= Agencias apoyadas</t>
  </si>
  <si>
    <t>V1=Infraestructura adecuadas</t>
  </si>
  <si>
    <t>V1= Mesas operando</t>
  </si>
  <si>
    <t>V1= Infraestructura adecuada</t>
  </si>
  <si>
    <t>V1= Poblacion intervenida</t>
  </si>
  <si>
    <t>V1= Centro adecuado</t>
  </si>
  <si>
    <t>V1= Centro funcionando</t>
  </si>
  <si>
    <t>V1= Despachos adecuados</t>
  </si>
  <si>
    <t>V1= Espacios núevos</t>
  </si>
  <si>
    <t>V1= Diseños realizados</t>
  </si>
  <si>
    <t xml:space="preserve"> V1 / V2 * 100</t>
  </si>
  <si>
    <t>V1: Retornos solicitados
V2: Retornos cumplidos</t>
  </si>
  <si>
    <t>V1/V2*100</t>
  </si>
  <si>
    <t xml:space="preserve">V1: Personas atendidas </t>
  </si>
  <si>
    <t xml:space="preserve">V1:Unidades de Atención </t>
  </si>
  <si>
    <t>V1: Hogares que reciben ayuda humanitaria inmediata
V2: Hogares que cumpliendo los requisitos de ley solicitan ayuda humanitaria inmediata</t>
  </si>
  <si>
    <t>V1: Módulos del sistema instalados y en operación.
 V2: Módulos del sistema requeridos.</t>
  </si>
  <si>
    <t>V1 / V2 * 100</t>
  </si>
  <si>
    <t>V1: Solicitudes por canales no presenciales atendidas.
V2: Solicitudes por canales no presenciales recibidas.</t>
  </si>
  <si>
    <t>V1= Personas victimas del conflicto armado y sus familias atendidas psicosocialmente y en salud integral</t>
  </si>
  <si>
    <t>V1= Estudiantes, víctimas del conflicto armado interno, matriculados en las Instituciones Educativas Oficiales con estrategias para la permanencia escolar</t>
  </si>
  <si>
    <t>V1: Personas víctimas que reciben asistencia psicojurídica frente a sus derechos a la verdad, justticia, reparación y no repetición.</t>
  </si>
  <si>
    <t>V1: Personas víctimas del conflicto armado que se benefician de la estrategia</t>
  </si>
  <si>
    <t>V1: Organizaciones que reciben apoyo técnico o material para su participación e incidencia ante las entidades del Sistema Integral de Verdad, Justicia Reparación y No Repetición</t>
  </si>
  <si>
    <t>V1= Victimas protegidas</t>
  </si>
  <si>
    <t>V1= Personas víctimas del conflicto armado, vinculadas a procesos artísticos y culturales</t>
  </si>
  <si>
    <t>V1: Adultos mayores capaciitados en mecanismos de reparación de víctimas</t>
  </si>
  <si>
    <t>V1: Plan de funcionamiento aprobado y ejecutad</t>
  </si>
  <si>
    <t>V1: Eventos conmemorativos para las víctimas</t>
  </si>
  <si>
    <t>V1= Subsidio municipal de vivienda asignados a hogares en situación de desplazamiento forzoso</t>
  </si>
  <si>
    <t>V1= Eventos deportivos y recreativos para personas víctimas del conflicto armado</t>
  </si>
  <si>
    <t>V1 + V2 + V3 + V4 + V5</t>
  </si>
  <si>
    <t>V1 = Salas de parto públicas y privadas que bridan atención de calidad al recién nacidos
 V2 = UCI neonatal que que bridan atención de calidad al recién nacidos
 V3 = IPS con clubes infantiles de neurodesarrollo que bridan atención de calidad al recién nacidos
 V4 = IPS públicas con consulta externa de atención a recién nacidos que bridan atención de calidad al recién nacidos
 V5 = IPS privadas con consulta externa de atención a recién nacidos que bridan atención de calidad al recién nacidos</t>
  </si>
  <si>
    <t>V1= Niñas y niños beneficiados con experiencias lúdicas</t>
  </si>
  <si>
    <t>V1= Niños, niñas, mujeres gestantes y madres lactantes beneficiados con experiencias artísticas y culturales</t>
  </si>
  <si>
    <t>V1= Niñas y niños, mujeres gestantes y madres lactantes beneficiados en procesos de lectura y escritura</t>
  </si>
  <si>
    <t>V1= IEO con niñas y niños de primera Infancias atendidos Integralmente</t>
  </si>
  <si>
    <t xml:space="preserve">V1= Centro de atención a la primera infancia construido </t>
  </si>
  <si>
    <t>V1= Niñas y niños de infancia, adolescentes y jóvenes beneficiados con experiencias lúdicas</t>
  </si>
  <si>
    <t xml:space="preserve"> V1= Beneficiarios en las estrategias de fomento de la educación inicial </t>
  </si>
  <si>
    <t xml:space="preserve">V1:Niños, niñas, adolescentes y familias participando de las estrategias de de prevención y promoción </t>
  </si>
  <si>
    <t>V1:Hogares de paso funcionando para la atención inmediata, provisional e integral de NNA con vulneración de derechos</t>
  </si>
  <si>
    <t>V1= Adolescentes y jóvenes beneficiados con programa de rendimiento deportivo</t>
  </si>
  <si>
    <t>V1= Eventos recreativos con familias en parques</t>
  </si>
  <si>
    <t>V1 = Dosis de vacuna del Programa Amplilado de Inmunizaciones aplicadas</t>
  </si>
  <si>
    <t>V1= Niñas, niños, adolescentes, jóvenes y adultos beneficiados con programa de iniciación y formación deportiva
V2= Niñas, niños, adolescentes, jóvenes y adultos beneficiados con programa de nuevas tendencias</t>
  </si>
  <si>
    <t>V1= Juegos deportivos y recreativos del sector educativo</t>
  </si>
  <si>
    <t>V1= Jornadas de coclovía realizadas</t>
  </si>
  <si>
    <t>V1:Espacios juveniles de participación</t>
  </si>
  <si>
    <t>V1: Organizaciones juveniles apoyadas tecnicamente</t>
  </si>
  <si>
    <t>V1:Medios virtuales implementados</t>
  </si>
  <si>
    <t>V1= Jovenes intervenidos</t>
  </si>
  <si>
    <t>V1: Jovenes formados</t>
  </si>
  <si>
    <t>V1 = Jóvenes multiplicadores en derechos sexuales y reproductivos certificados</t>
  </si>
  <si>
    <t>V1= Organizaciones juveniles culturales y artísticas fortalecidas con programas de creación y promoción del patrimonio cultural</t>
  </si>
  <si>
    <t>V1= Adolescentes vinculados al voluntariado del sector deportivo</t>
  </si>
  <si>
    <t>V1:Atenciones a personar mayores</t>
  </si>
  <si>
    <t xml:space="preserve">V1: Personas mayores atendidas </t>
  </si>
  <si>
    <t>V1: Personas capacitadas</t>
  </si>
  <si>
    <t>V1= Espacios de intercambio intergeneracional promovidos</t>
  </si>
  <si>
    <t>V1= Personas adultas mayores beneficiadas con estrategias en pro del envejecimiento funcional saludable</t>
  </si>
  <si>
    <t>V1 = Personas con prácticas para el envejecimiento activo y la cultura positiva de la vejez</t>
  </si>
  <si>
    <t>V1:Centro Vida para personas mayores  adecuados</t>
  </si>
  <si>
    <t>V1=Estrategia de complemento de seguridad social para personas mayores de estrato 2 y 3 gestionada</t>
  </si>
  <si>
    <t xml:space="preserve">V1:Personas formadas </t>
  </si>
  <si>
    <t xml:space="preserve">V1:Productos de apoyo suministrados </t>
  </si>
  <si>
    <t>V1 = Personas con discapacidad y con enfermedades huerfanas intervenidas con la Estrategia de Rehabilitación Basada en la Comunidad -RBC-</t>
  </si>
  <si>
    <t>V1= Niños, niñas, adolescentes, jóvenes, adultos y adultos mayores con discapacidad beneficiados con procesos deportivos de formación</t>
  </si>
  <si>
    <t>V1= Personas con discapacidad beneficiadas con actividades artísticas y culturales</t>
  </si>
  <si>
    <t>V1= Estudiantes con discapacidad vinculados a la matricula oficial
V2= Estudiantes con discapacidad vinculados a educacion adecuada para la integracion social y adecuacion para el trabajo y desarrollo humano
V3= Estudiantes con talentos excepcionales vinculados a la matricula oficial</t>
  </si>
  <si>
    <t xml:space="preserve">V1= Juegos para distritales </t>
  </si>
  <si>
    <t>V1= Sedes de IEO con comunidad educativa fortalecidas con procesos etnoeducativos afrodescendientes</t>
  </si>
  <si>
    <t>V1:Centro de integración funcionando.</t>
  </si>
  <si>
    <t>V1:Estrategias formuladas</t>
  </si>
  <si>
    <t>V1:Estrategia para transversalización de la política diseñada</t>
  </si>
  <si>
    <t xml:space="preserve">V1:Planes de etnodesarrollo implementados </t>
  </si>
  <si>
    <t>V1*25% + V2*25% + V3*25% + V4*25%</t>
  </si>
  <si>
    <t>V1 = Fase de revitalizar instituciones propias de comunidades etnicas
 V2 = Fase de Acceso a práctica de medicina ancestral 
 V3 = Fase de Gestión conocimiento en salud propia
 V4 = Fase de Acciones promocionales y preventivas para cuidado en salud propia</t>
  </si>
  <si>
    <t>V1= Expresiones tradicionales de la población afrodescendiente promovidas</t>
  </si>
  <si>
    <t>V1= Organizaciones, grupos e instituciones culturales que promueven valores identitarios afrodescendientes apoyadas</t>
  </si>
  <si>
    <t>V1:Personas de comunidades indígenas formadas</t>
  </si>
  <si>
    <t>V1: Estrategia de Investigación</t>
  </si>
  <si>
    <t>V1:Campaña Educativa Formulada e Implementada</t>
  </si>
  <si>
    <t xml:space="preserve">V1:Planes de Vida Implementados </t>
  </si>
  <si>
    <t>V1= Sedes Educativas oficiales con estrategias de permanencia para la población indígena</t>
  </si>
  <si>
    <t>V1= Pueblos indígenas organizados, apoyados en la recuperación de sus prácticas culturales ancestrales</t>
  </si>
  <si>
    <t>1: Espacio dotado para la integración de las comunidades indígenas</t>
  </si>
  <si>
    <t>V1:Personas atendidas</t>
  </si>
  <si>
    <t xml:space="preserve">V1: Instituciones sensibilizadas </t>
  </si>
  <si>
    <t>V1: Numero de Campañas realizadas</t>
  </si>
  <si>
    <t>V1:Centro de acogida operando</t>
  </si>
  <si>
    <t xml:space="preserve">V1: Familias vinculadas a los programas de mas familias
V2: Potencial de familias a vincular en los programas de mas familias </t>
  </si>
  <si>
    <t>(V1/V2)*101</t>
  </si>
  <si>
    <t>V1: Jovenes vinculados al programa jóvenes en acción
V2: Potencial de Jovenes vinculados al programa Jovenes en Acción</t>
  </si>
  <si>
    <t>V1: Hogares orientados hacia el acceso de la oferta del distrito
V2: Hogares inscritos en la estrategia Red Unidos</t>
  </si>
  <si>
    <t>V1= Personas en riesgo social beneficiadas con programa recreativo</t>
  </si>
  <si>
    <t>V1 = Unidades sociales beneficiadas de los planes de gestión social</t>
  </si>
  <si>
    <t>V1:Habitantes de y en Calle atendidos</t>
  </si>
  <si>
    <t>V1:Actividades que se implementan en el marco de la estrategia de prevención del fénomeno de habitabilidad en calle
V2:Total de actividades programadas en el marco de la estrategia de prevención del fénomeno de habitabilidad en calle</t>
  </si>
  <si>
    <t>V1:Actividades que se implementan para el funcionamiento del  Centro de Servicios integrales para habitantes de y en calle, y personas en riesgo de habitar la calle.
V2:Total de actividades programadas para el funcionamiento del  Centro de Servicios integrales para habitantes de y en calle, y personas en riesgo de habitar la calle.</t>
  </si>
  <si>
    <t>V1: Estrategia de atención integral diseñada e implementada</t>
  </si>
  <si>
    <t>V1:Actividades que se implementan para el estudio de viabilidad de un programa de acceso a soluciones de vivienda
V2:Total de actividades programadas para el estudio de viabilidad de un programa de acceso a soluciones de vivienda</t>
  </si>
  <si>
    <t>V1:Casa Matria adecuada, equipada y en operación</t>
  </si>
  <si>
    <t xml:space="preserve">V1: Personas vinculadas a la estrategia de prevención de violencias contra la mujer e intervención social desde la perspectiva de género.
</t>
  </si>
  <si>
    <t>V1 Mujeres víctimas de violencias basadas en género atendidas
V2: Mujeres Victimas de violencias basadas en género que solicitan atención</t>
  </si>
  <si>
    <t>V1= Participantes</t>
  </si>
  <si>
    <t xml:space="preserve">V1:Estrategia sobre género y prevención de violencias implementada </t>
  </si>
  <si>
    <t>V1: Sistema Distrital del Cuidado, diseñado y en proceso de implementación</t>
  </si>
  <si>
    <t>V1 = Empresas y grupos de trabajo informal de los sectores económicos en Santiago de Cali monitoreados y vigilados.</t>
  </si>
  <si>
    <t>V1 + V2 + V3 + V4</t>
  </si>
  <si>
    <t>V1 = Instituciones del Entorno educativo que implementan el Programa de Promoción y Atención Integral a la Malnutrición
 V2 = Instituciones del Entorno comunitario que implementan el Programa de Promoción y Atención Integral a la Malnutrición
 V3 = Instituciones del Entorno laboral que implementan el Programa de Promoción y Atención Integral a la Malnutrición
 V4 = Instituciones del Entorno institucional que implementan el Programa de Promoción y Atención Integral a la Malnutrición</t>
  </si>
  <si>
    <t>(V1x0,15)
 (V2x0,15)
 (V3x0,25)
 (V4x0,15)
 (V5x0,15)
 (V6x0,15)</t>
  </si>
  <si>
    <t xml:space="preserve">V1: Componente Promoción y prevención en comunidad y entornos 
V2:Componente consejeria en derechos sexuales y reproductivos 
V3:Componente procesos prioritarios con enfoque diferencial, cuidado de la salud, gestión de riesgo, vigilancia de estructura del proceso  
V4: Componente monitoreo y seguimiento a indicadores, plan operativo y referencia y contrareferencia 
V5. Componente vigilancia epidemiologica de eventos prioritarios relacionados con salud sexual y reproductiva 
V6: Componente Fortalecimiento de competencias de personal de salud  </t>
  </si>
  <si>
    <t>V1 = Entidades del Entorno educativo con practicas de vida saludable que prevengan la mortalidad temprana por hipertensión, diabetes y cáncer
 V2 = Entidades del Entorno comunitario con practicas de vida saludable que prevengan la mortalidad temprana por hipertensión, diabetes y cáncer
 V3 = Entidades del Entorno institucional con practicas de vida saludable que prevengan la mortalidad temprana por hipertensión, diabetes y cáncer
 V4 = Entidades del Entorno laboral con practicas de vida saludable que prevengan la mortalidad temprana por hipertensión, diabetes y cáncer</t>
  </si>
  <si>
    <t>V1 = Personas con Tuberculosis diagnosticadas antes de 30 días a partir de la consulta</t>
  </si>
  <si>
    <t>V1: total unidades biológicas no incluidas en el esquema nacional gratuito de vacunación aplicadas</t>
  </si>
  <si>
    <t>V1 = UPGD funcionando en el Sistema de Vigilancia Epidemiológica</t>
  </si>
  <si>
    <t>V1 = Rutas Integrales de Atención con lineamientos del Ministerio implementadas</t>
  </si>
  <si>
    <t>V1 = Líderes comunitarios con capacidades para la exigibilidad del derecho a la salud certificados</t>
  </si>
  <si>
    <t>V1 = Fase 1: Preliminar
V2 = Fase 2: Desarrollo
V3 = Fase 3: Evaluación</t>
  </si>
  <si>
    <t>V1 *15%+ 
V2 *30%+ 
V3*55%</t>
  </si>
  <si>
    <t xml:space="preserve">V1 = fase de diseño del laboratorio
V2 = fase de planificación y adecuación tecnoligica 
V3 = fase de implementación </t>
  </si>
  <si>
    <t>V1 = Personas en situación y en riesgo de consumo de sustancias psicoactivas intervenidas.</t>
  </si>
  <si>
    <t>V1 x 00,2 + V2 x 0,07 + V3 x 0,36 + V4 x 0,55</t>
  </si>
  <si>
    <t>V1 = Estudio de prefactibilidad y asignación de predio 
 V2= Diseños, permisos, licencias.
 v3= Construccion de fase de cimentacion, estructura, mamposteria y cubierta. 
 v4= Construccion de fase de acabados, estucos, pinturas, pisos, cielo, carpinteria y equipos electromecanicos especiales y dotación del centro de prevención y Atención del Consumo de Sustancias Psicoactivas -SPA-</t>
  </si>
  <si>
    <t xml:space="preserve"> V1 = Entidades de salud con atención integral de VIH/SIDA/Hepatitis B y C, y el enfoque diferencial y de género en la prestación de servicios de salud </t>
  </si>
  <si>
    <t>V1: Politica de Salud Mental adoptada</t>
  </si>
  <si>
    <t>(V1 / V2) x 100</t>
  </si>
  <si>
    <t>V1 = Instituciones del entorno educativo con ruta de promoción implementada
V2 = Total de Instituciones del entorno educativo.</t>
  </si>
  <si>
    <t>V1 = Número de personas afiliadas al SGSSS en el período
 V2 = Número total de personas identificadas sin afiliación al SGSSS en el período</t>
  </si>
  <si>
    <t>V1 = Territorios que concentran el mayor riesgo epidemiológico, sanitario, social y ambiental</t>
  </si>
  <si>
    <t xml:space="preserve">(V1x15%) + (V2x20%) + (V3x15%) + (V4x15%) + (V5x20%) + (V6x15%)  </t>
  </si>
  <si>
    <t>V1:implementación y/o seguimiento de una estrategia de comunicación y movilización comunitaria en territorios priorizados
V2:Intervenir los criaderos permanentes de Aedes aegypti en la vía pública (sumideros)
V3:Intervenir los criaderos intra-peridomiciliarios y del entorno para evitar la proliferación de vectores
V4: Espacios Intrainstitucionales e Intersectoriales para el fomento de las acciones para la prevención y vigilancia de las ETV (grupo funcional de la EGI - ETV, Mesa Técnica de ETV del Consejo Territorial de Salud Ambiental - COTSA, entre otros).
V5:Avance de la implementación del sistema de información para la vigilancia y control de vectores
V6:Análisis integrado de las intervenciones operativas para el control de vectores</t>
  </si>
  <si>
    <t>(V1 x 10%) + (V2x10%) + (V3x10%) + (V4x10%) + (V5x10%) + (V6x10%) + (V7x10%) + (V8x10%) + (V9x10%) + (V10x10%)</t>
  </si>
  <si>
    <t>V1 = Implementar un (1) sistema de información de las zoonosis de notificación obligatoria en las Unidades Primarias Generadoras de Datos – UPGD Veterinarias y UPGD de Salud humana, V2 = Vacunar contra la rabia el 80% de caninos y felinos correspondiente al sector oficial, V3 = Intervenir integralmente el 100% de los entornos a riesgo, para la prevención de Encefalitis Equina Venezolana - EEV, V4 = Intervenir integralmente el 100% de los territorios priorizados asociados a Tenencia Inadecuada de Animales domésticos, V5 = Esterilizar quirúrgicamente el 50% de hembras caninas y felinas en territorios priorizados, V6 = Realizar control humanitario de caninos y felinos con confinamiento parcial o en condición de calle, en el 100% de los casos notificados, V7 = Realizar control de roedores y otras especies sinantrópicas, en el 100% de territorios priorizados y los casos notificados, V8 = Vigilar el 100% de los casos observables de agresiones por animales potencialmente transmisores de la rabia y por sospecha de leptospirosis notificados, V9 = Vigilar el 100% de los casos notificados de zoonosis de alta morbilidad asociada a la tenencia inadecuada de animales, V10 = Levantar línea de base y realizar Inspección, Vigilancia y Control sanitario al 50% de los establecimientos prestadores de servicios de sanidad animal y actividades conexas.</t>
  </si>
  <si>
    <t>V1 x 0,10 + V2 x 0,80 + V3 x 0,10</t>
  </si>
  <si>
    <t>V1: Diseños (diseños arquitectónicos, estructurales, técnicos y diseños para redes sanitarias, hidráulicas y eléctricas)
V2: Ampliación y remodelación  de infraestructura 
V3: dotación de equipos para el desarrollo de las actividades medico veterinarias, diagnostico de zoonosis y de control.</t>
  </si>
  <si>
    <t>V1 = Número de empresas priorizadas con manejo eficiente de Residuos Peligrosos (RESPEL)</t>
  </si>
  <si>
    <t>V1: Diagnóstico elaborado y entregado</t>
  </si>
  <si>
    <t xml:space="preserve">V1: Personas atendidas en comendores comunitarios </t>
  </si>
  <si>
    <t>V1:Raciones entregadas a niños y niñas en recuperación nutricional</t>
  </si>
  <si>
    <t>V1=Líderes de los comedores comunitarios capacitados para la conformación de unidades Productivas Autosostenibles</t>
  </si>
  <si>
    <t>V1: Plan Estratégico diseñado, implementado y funcionando</t>
  </si>
  <si>
    <t>V1=Soluciones habitacionales VIP y VIS generadas</t>
  </si>
  <si>
    <t>V1: Hectaras de suelo gestionado para construcción de vivienda VIS y VIP</t>
  </si>
  <si>
    <t>V1:Subsidio municipal de vivienda asignados a hogares de desmovilizados</t>
  </si>
  <si>
    <t>V1: Viviendas Mejoradas</t>
  </si>
  <si>
    <t>V1 = Metros cuadrados construidos en proyectos de renovacon urbana</t>
  </si>
  <si>
    <t>0,8*V1 +0,2*V2</t>
  </si>
  <si>
    <t>V1:Plan Maestro de Vivienda, formulado  
V2: Plan maestro de vivienda adoptado</t>
  </si>
  <si>
    <t>V1 = Metros cuadrados habilitados en suelo de proyectos de renovacon urbana</t>
  </si>
  <si>
    <t>V1: Plan parcial de renovación formulado 
V2 : Plan Parcial adoptado</t>
  </si>
  <si>
    <t>V1: Estudio de tierras ejidales y lotes del distrito realizado</t>
  </si>
  <si>
    <t>V1: Proyectos viabilizados</t>
  </si>
  <si>
    <t>V1: Predios Titulados</t>
  </si>
  <si>
    <t>V1: asentamiento humano de desarrollo incompleto y/y precario intervenido</t>
  </si>
  <si>
    <t>V1:proyecto de acuerdo de titulación de predios en zona rural presentado</t>
  </si>
  <si>
    <t>V1:proyecto de acuerdo para cesiones gratuitas o enajenación de predios fiscales presentado</t>
  </si>
  <si>
    <t xml:space="preserve"> V1 = hectáreas del Parque de la Vida adecuados ambiental y paisajísticamente</t>
  </si>
  <si>
    <t xml:space="preserve">V1 = Número de espacios públicos efectivos adecuados arquitectónica y paisajísticamente </t>
  </si>
  <si>
    <t>V1= numero de plazoleta integración social construida.</t>
  </si>
  <si>
    <t>V1= Espacios públicos promovidos con programación cultural</t>
  </si>
  <si>
    <t>V1= Caracterizacion realizada</t>
  </si>
  <si>
    <t>V1= Vendedores organizados</t>
  </si>
  <si>
    <t>V1= Corredores viales descontaminados</t>
  </si>
  <si>
    <t>V1= Intervenciones de espacio publico diseñadas</t>
  </si>
  <si>
    <t>V1= m2de vias adecuados.
V2=m2de andenes adecuados</t>
  </si>
  <si>
    <t>V1*0.15+V2*0.2+V3*0.1+V4*0.1</t>
  </si>
  <si>
    <t>V1= Documento Técnico de Diagnóstico del Sistema de espacio público ajustado
V2= Documento Técnico de Formulación del Sistema de espacio público ajustado 
V3= Documento Técnico de Soialización del Sistema de espacio público
V4= Proyecto de Acuerdo Municipal Plan Maestro de Espacio Público</t>
  </si>
  <si>
    <t>V1 = Estudios Técnicos proyecto Corredor Verde elaborados</t>
  </si>
  <si>
    <t>V1= Inventario de publicidad exterior visual actualizado y mantenido</t>
  </si>
  <si>
    <t>V1: Equipamenteo comunitario nuevo.</t>
  </si>
  <si>
    <t>V1: Mantenimiento a sedes comunales, salones comunales, Casetas Comunales.</t>
  </si>
  <si>
    <t xml:space="preserve"> V1</t>
  </si>
  <si>
    <t>V1: Intervenciones (mantenimiento correctivo, preventivo y dotación) a Centros de Administración Local Integrada y demás infraesturctura designada</t>
  </si>
  <si>
    <t>(V1 x 30%) + (V2 x 25%) + (V3 x 20%) + (V4 x 5%) + (V5 x 20%)</t>
  </si>
  <si>
    <t>V1 = Componente de mobiliario clínico
V2 = Componente de equipo biomédico
V3 = Componente de infraestructura
V4 = Componente de transporte especial de pacientes y atención extramural
V5 = Componente camas hospitalarias</t>
  </si>
  <si>
    <t>V1= Escenarios deportivos y recreativos diseñados
V2= Escenarios deportivos y recreativos con mantenimiento
V3= Escenarios deportivos y recreativos construidos
V4= Escenarios deportivos y recreativos adecuados</t>
  </si>
  <si>
    <t>V1= Plan  de escenarios formulado</t>
  </si>
  <si>
    <t>V1= Equipamientos culturales del municipio fortalecidos con adecuación, mejoramiento, mantenimiento o dotación</t>
  </si>
  <si>
    <t xml:space="preserve">V1= Intervenciones (Mantenimiento, adecuación de infraestructura) realizadas a sedes educativas oficiales </t>
  </si>
  <si>
    <t xml:space="preserve">V1= Sede educativa construida y/o adquirida </t>
  </si>
  <si>
    <t>V1= Documento Técnico de Diagnóstico del Sistema de equipamientos ajustado
V2= Documento Técnico de Formulación del Sistema de equipamientos ajustado
V3= Documento de Socialización del Sistema de equipamientos
V4= Proyecto de Acuerdo Municipal Plan Maestro de Equipamientos</t>
  </si>
  <si>
    <t>V1=  Centro de alto rendimiento adecuado</t>
  </si>
  <si>
    <t>V1= Equipamiento de servicios urbanos básicos implementado</t>
  </si>
  <si>
    <t>∑V1</t>
  </si>
  <si>
    <t>V1= Kilómetros de Red de Media Tensión Construidos en Plan Parcial San Pascual</t>
  </si>
  <si>
    <t>V1=Infraestructura de Agua Potable en la zona rural construidas</t>
  </si>
  <si>
    <t>V1=Sistemas de Agua Potable en la zona rural mejorados en infraestructura</t>
  </si>
  <si>
    <t>V1=Beneficiarios del subsidio del déficit de a las empresas de servicios públicos de acueducto alcantarillado y aseo de los estratos 1, 2 y 3 del fondo de solidaridad y redistribución de ingreso</t>
  </si>
  <si>
    <t>V1=Beneficiarios del programa del mínimo vital de agua potable</t>
  </si>
  <si>
    <t>V1*0.25 + V2*0.20 + V3*0.30 +V4*0.1</t>
  </si>
  <si>
    <t>V1= Documento de Diagnostico de Cobertura, Calidad y Continuidad - CCC de los servicios públicos
V2= Documento de Politicas y Lineamientos tecnicos
V3= Documento técnico de formulacion - proyectos
V4= Proyecto de Acuerdo Municipal Plan Maestro de SP</t>
  </si>
  <si>
    <t>10*V1+10*V2+70*V3+10*V4</t>
  </si>
  <si>
    <t>V1-Fase I: Incorporación de recursos en el presupuesto 
V2-Fase II Inicio etapa pre-contractual
V3-Fase III Ejecución contrato de consultoría e interventoría
V4-Fase IV Documento final del contrato de consultoría</t>
  </si>
  <si>
    <t>V1: metros lineales de red de acueducto optimizados</t>
  </si>
  <si>
    <t>V1: metros lineales de red de alcantarillado optimizados</t>
  </si>
  <si>
    <t>V1=Plantas de tratamiento de agua potable con monitoreo de calidad del agua inteligente operando</t>
  </si>
  <si>
    <t>V1= Territorios con acompañamiento para el desarrollo deportivo, recreativo y de actividad física</t>
  </si>
  <si>
    <t>V1= Eventos académicos del sector deportivo, recreativo y de actividad física</t>
  </si>
  <si>
    <t>V1= Formulación y adopción de la política pública del deporte y la recreación</t>
  </si>
  <si>
    <t>V1= Apoyos entregados en territorios del ditrito</t>
  </si>
  <si>
    <t>V1= Instancias de participación ciudadana implementadas</t>
  </si>
  <si>
    <t>V1= Carreras y caminatas realizadas</t>
  </si>
  <si>
    <t>V1= Personas beneficiadas con proyecto de gimnasia dirigida</t>
  </si>
  <si>
    <t>V1= Juegos intercorregimientos</t>
  </si>
  <si>
    <t xml:space="preserve">V1= Estudiantes beneficiados con Paquetes escolares  </t>
  </si>
  <si>
    <t>V1= estudiantes vinculados Instituciones educativas oficiales V2 = estudiantes matriculados en establecimientos que prestan el servicio de cobertura contratada</t>
  </si>
  <si>
    <t>v1</t>
  </si>
  <si>
    <t>V1= Sedes educativas oficiales con implementación de modelos educativos flexibles</t>
  </si>
  <si>
    <t>V1= Estudiantes oficiales beneficiados con la estrategia de transporte escolar</t>
  </si>
  <si>
    <t>V1=Instituciones Educativas Oficiales dotadas</t>
  </si>
  <si>
    <t>V1= Estudiantes de IEO beneficiados con  con complemento del PAE
V2= Estudiantes  matriculados en las IEO de grado 0 a grado 11</t>
  </si>
  <si>
    <t xml:space="preserve">V1= Estudiantes con bajo resultados de pruebas saber de Instituciones Educativas Oficiales vinculados al plan talentos </t>
  </si>
  <si>
    <t>V1= Estudiantes en programas de articulación con Instituciones de Educación Superior, de la formación técnica, Tecnológica, para el trabajo y el desarrollo humano (ETDH)</t>
  </si>
  <si>
    <t>V1=Etapas de la creación de la Universidad Distrital alcanzadas V2=Total de etapas de la creación de la Universidad Distrital  definidas</t>
  </si>
  <si>
    <t>V1= Docentes formados en procesos organizados en comunidades de aprendizaje o redes para el fortalecimiento de sus experiencias, la investigación y el mejoramiento de la práctica docente y el aprendizaje</t>
  </si>
  <si>
    <t>V1=IEO que fortalecen los proyectos pedagógicos transversales</t>
  </si>
  <si>
    <t>V1= IEO que fortalecen sus prácticas pedagógicas</t>
  </si>
  <si>
    <t>V1= Instituciones y organizaciones con promoción de lectura, escritura y oralidad</t>
  </si>
  <si>
    <t>V1= Bibliotecas públicas y espacios adscritos a la Red, operando con servicios bibliotecarios</t>
  </si>
  <si>
    <t>V1=IEO fortalecidas con planes de lectura, escritura y oralidad desde la educación Inicial hasta la media</t>
  </si>
  <si>
    <t>V1=Bibliotecas escolares vinculadas a la red de lectura</t>
  </si>
  <si>
    <t>V1= IEO con un seguimiento y evaluación de la calidad implementado</t>
  </si>
  <si>
    <t>V1= IEO con directivos docentes fortalecidos en capacidades administrativas y humanas para el liderazgo pedagógico</t>
  </si>
  <si>
    <t xml:space="preserve">V1= Estudiantes beneficiados de la jornada única
V2= Total de estudiantes matriculados en las Instituciones Educativas Oficiales 
</t>
  </si>
  <si>
    <t>V1=Instituciones educativas que implementan programas, para el mejoramiento de las competencias básicas</t>
  </si>
  <si>
    <t>V1=IEO fortalecidas en competencias comunicativas en lengua extranjera- Ingles</t>
  </si>
  <si>
    <t>V1 = Estado de avance de la promulgación de la Política Pública de Bilinguismo</t>
  </si>
  <si>
    <t>V1=Etapas de los lineamientos para la creación del observatorio formuladas V2=Total de etapas de los lineamientos para la creación del observatorio definidas</t>
  </si>
  <si>
    <t>V1= Manifestaciones del patrimonio cultural inmaterial identificadas, visibilizadas y salvaguardadas</t>
  </si>
  <si>
    <t>V1= Bienes materiales de Interés cultural protegidos y conservados</t>
  </si>
  <si>
    <t>V1= Comunas y corregimientos con procesos identitarios promovidos y apoyados</t>
  </si>
  <si>
    <t>V1= Plan para la recuperación de la memoria cultural implementado</t>
  </si>
  <si>
    <t>V1= Fuentes y monumentos localizados en espacio público con mantenimiento</t>
  </si>
  <si>
    <t>V1= Inventario de bienes muebles de interés cultural actualizado y difundido</t>
  </si>
  <si>
    <t>V1= Bienes muebles documentales patrimoniales y de interés cultural, protegidos, conservados y divulgados</t>
  </si>
  <si>
    <t>V1=PEMP Galeria Santa Elena
V2=PEMP Iglesia San Antonio</t>
  </si>
  <si>
    <t>V1=Fuentes, monumentos y Bienes de interés cultural de Santiago de Cali con sistemas de iluminación ornamental conservadas</t>
  </si>
  <si>
    <t>(0.8V1+0.2V2)/V3*100</t>
  </si>
  <si>
    <t>V1= Bienes de Interés Cultural (BIC) con ficha actualizada
V2 = Bienes de Interés Cultural (BIC) registrados en el SIPA
V3 = Total de Bienes de Interés Cultural (BIC) inventariados</t>
  </si>
  <si>
    <t>V1= Personas formadas en prácticas artísticas en comunas y corregimientos</t>
  </si>
  <si>
    <t>V1= Organizaciones e instituciones apoyadas en el desarrollo de sus iniciativas artísticas y culturales</t>
  </si>
  <si>
    <t>V1= Espacios de participación y creación artística con enfoque diferencial y de genero apoyados</t>
  </si>
  <si>
    <t>V1= Actores del sector cultural beneficiados con estímulos</t>
  </si>
  <si>
    <t>V1= Semilleros de investigación artística y cultural implementados</t>
  </si>
  <si>
    <t>V1= Creadores y gestores culturales beneficiados con seguridad social de acuerdo con la normatividad vigente</t>
  </si>
  <si>
    <t>V1= Actores de la salsa fortalecidos en gestión cultural y procesos dancísticos</t>
  </si>
  <si>
    <t>V1= Personas beneficiadas con el proceso de profesionalización de artistas</t>
  </si>
  <si>
    <t>V1= Personas y agrupaciones dedicadas a la producción audiovisual y/o cinematográfica apoyadas</t>
  </si>
  <si>
    <t>V1= Escenarios para las artes escénicas de naturaleza pública fortalecidos con programación cultural y artística</t>
  </si>
  <si>
    <t>V1= Organizaciones de formación artística y cultural apoyadas</t>
  </si>
  <si>
    <t>V1= Jóvenes y adultos en proceso de formación en artes populares y tradicionales</t>
  </si>
  <si>
    <t>V1= Artistas, gestores y creadores certificados en prácticas artísticas y culturales</t>
  </si>
  <si>
    <t>V1 = Creaciones artísticas y culturales, populares y tradicionales que circulan en escenarios estratégicos.</t>
  </si>
  <si>
    <t>#N/A</t>
  </si>
  <si>
    <t>V1=Nuevos eventos que se suman al ecosistema cultural</t>
  </si>
  <si>
    <t>V1= Reestructuración administrativa, académica y pedagógica del Instituto Popular de Cultura</t>
  </si>
  <si>
    <t>V1= Sede para el Instituto Popular de Cultura gestionada y adecuada</t>
  </si>
  <si>
    <t>V1: Hectáreas restauradas y conservadas</t>
  </si>
  <si>
    <t xml:space="preserve">V1 + V2 + V3 + V4 </t>
  </si>
  <si>
    <t>V1 = Pago Servicios Ambientales.
V2 = Administración predios.
V3 = Restauración ecológica.
V4 = Nacimientos de agua</t>
  </si>
  <si>
    <t>V1 = Número de humedales con Plan de Manejo Ambiental en ejecución</t>
  </si>
  <si>
    <t>V1 = Cinco (5) Nuevos sitios declarados como áreas protegidas bajo las categorías SIMAP Cali (20%, cada uno 4%).
V2 = Actualización de los PMA de Villa del Lago, Aguas de Navarro, RMUS, Garzas, Písamos, y ajuste de los PMA de Cristo Rey, Tres Cruces Bataclán, La Bandera (20%)
V3 = Ejecución de los PMA actualizados y ajustados (20%).</t>
  </si>
  <si>
    <t>V1 = Número de obras o intervenciones de descontaminación hídrica ejecutadas</t>
  </si>
  <si>
    <t>V1, V2, V3</t>
  </si>
  <si>
    <t xml:space="preserve">V1 = Área del Ecoparque Rio Pance con gestión administrativa realizada para la implementación del proyecto. 
V2 = Área del Ecoparque Rio Pance con diseños realizados.
V3=  Área del Ecoparque Rio Pance Adecuada ambiental y paisajísticamente
</t>
  </si>
  <si>
    <t>30*V1+30*V2+40*V3</t>
  </si>
  <si>
    <t>V1-Fase I: Concertación de las estrategias para  la cooperación técnica
V2-Fase II Implementación de las estrategias concertada
V3-Fase III Terminar implementación de las estrategias</t>
  </si>
  <si>
    <t>V1 = Número de árboles sembrados</t>
  </si>
  <si>
    <t>V1 = Número de canales con zonas blandas adecuadas ambiental y paisajísticamente.</t>
  </si>
  <si>
    <t>V1, V2</t>
  </si>
  <si>
    <t xml:space="preserve">V1= hectáreas de corredores ambientales diseñadas 
V2= hectáreas de corredores ambientales adecuadas. </t>
  </si>
  <si>
    <t>V1 = Número de viveros en red.</t>
  </si>
  <si>
    <t>V1 = SIGAC operando
V2 = CMDR operando</t>
  </si>
  <si>
    <t xml:space="preserve">V1 = levantamiento de información anual. (IVC Fauna registrada 10% anual. Total 40%)
V2 = diseño de la plataforma. (10%)
V3 = implementación y puesta en marcha de la plataforma (50%)
</t>
  </si>
  <si>
    <t>V1 = Hogar de Paso operando. 
V2 = CAV Fauna operando
V3 = CAV Flora operando</t>
  </si>
  <si>
    <t xml:space="preserve">V1 = Número de temáticas o categorías ambientales operando en el aplicativo Línea Eco (20%). 
V2 = Infraestructura tecnológica fortalecida para el Sistema de Línea Eco (20%).
V3 = Línea de atención al ciudadano fortalecida con un PBX operando (20%). 
V4 = Porcentaje de las PQRS interpuestas por la ciudadanía en el cuatrienio, respondidas de manera oportuna y eficiente (20%).
V5 = Ventanilla VITAL operando con 9 trámites ambientales disponibles a los usuarios (20%).   
</t>
  </si>
  <si>
    <t>V1= Techos desmontados</t>
  </si>
  <si>
    <t>(V1+ V2+V3) / 3</t>
  </si>
  <si>
    <t>V1: Porcentaje de requisitos cumplidos destino Pance 
V2: Porcentaje de requisitos cumplidos destino Bulevard del rio 
V3: Porcentaje de requisitos cumplidos destino San Antonio</t>
  </si>
  <si>
    <t xml:space="preserve">V1 = Número de Colectivos ambientales de gestores de educación y cultura, co-creando procesos para la reconciliación ambiental y la conservación de la estructura ecológica, operando en redes.  </t>
  </si>
  <si>
    <t xml:space="preserve">V1 =  Número de herramientas para la gestión, uso eficiente y ahorro de agua, diseñadas y en implementación. </t>
  </si>
  <si>
    <t>V1: Estrategia para la protección de la gestión integral y uso racional de agua potable</t>
  </si>
  <si>
    <t>V1 = Política Pública de Ética Interespecie y Protección Animal formulada. (80%)
V2 = Política Pública de Ética Interespecie y Protección Animal adoptada. (20%)</t>
  </si>
  <si>
    <t xml:space="preserve"> V1 = Centro de Promoción del Bienestar Animal Construido</t>
  </si>
  <si>
    <t>V1 = Centros Integrados de la Ruralidad operando</t>
  </si>
  <si>
    <t>V1: Hectáreas Registradas
V2: Total de Hectáreas</t>
  </si>
  <si>
    <t>V1=Estudio económico  para la inclusión de la zona rural de Cali en los Bonos de Carbono</t>
  </si>
  <si>
    <t>V1/V2</t>
  </si>
  <si>
    <t>V1: Acciones de turismo rural y de naturaleza implementadas
V2= Total acciones</t>
  </si>
  <si>
    <t>V1 = IEO con resignificación del PIER</t>
  </si>
  <si>
    <t>V1= longitud de vias rurales con mantenimiento rutinario</t>
  </si>
  <si>
    <t>V1 = Estado de avance de la adopción de la Política Pública de Educación Rural</t>
  </si>
  <si>
    <t>V1 = Estado de avance del proceso de construcción del programa piloto de alimentación alternativa</t>
  </si>
  <si>
    <t>(V1*0,3)+(V2*0,4)+(V3*0,3)</t>
  </si>
  <si>
    <t>V1=Estudios y adquisición de predio
V2= Construcción y dotación
V3= Puesta en operación</t>
  </si>
  <si>
    <t>V1=Plazas de mercado con tecnologías de aprovechamiento de residuos sólidos orgánicos aplicadas</t>
  </si>
  <si>
    <t>(V1*0,4)+(V2*0,5)+(V3*0,9)+(V4*0,2)</t>
  </si>
  <si>
    <t>V1= Barrios con rutas selectivas de residuos sólidos con inclusión de recicladores de oficio implementadas</t>
  </si>
  <si>
    <t>V1=Sitio de recolección, transporte, aprovechamiento y disposición final para la gestión de residuos de construcción y demolición RCD operando</t>
  </si>
  <si>
    <t>V1=Espacios públicos impactados por el manejo inadecuado de residuos sólidos intervenidos anualmente</t>
  </si>
  <si>
    <t>V1=Lixiviados del Antiguo Vertedero de Navarro tratados</t>
  </si>
  <si>
    <t>V1=Monitoreos anuales de calidad ambiental del antiguo Vertedero de Navarro realizados</t>
  </si>
  <si>
    <t>V1 = Número de Generadores de Residuos de Construcción y Demolición-RCD y Residuos Ordinarios, vinculados a un proceso de manejo eficiente y mejores prácticas en su gestión.</t>
  </si>
  <si>
    <t>V1+ V2+V3+ V4</t>
  </si>
  <si>
    <t>V1= Plan de Gestión Integral de Residuos Sólidos –PGIRS evaluado y ajustado
V2= Estudio asociado a la localización de infraestructuras del sistema de gestión integral de residuos sólidos elaborado
V3= Estudio asociado a la GIRS para el mejoramiento de la prestación del servicio público de aseo elaborado
V4= Estudio asociado a la GIRS para el mejoramiento de la prestación del servicio público de aseo elaborado</t>
  </si>
  <si>
    <t>V1=Personas sensibilizadas en gestión de residuos sólidos con inclusión de recicladores de oficio</t>
  </si>
  <si>
    <t>V1=Nuevo modelo de aseo implementado</t>
  </si>
  <si>
    <t>V1=Emprendimientos
V2=Empresas</t>
  </si>
  <si>
    <t>V= 0.3*V1+0.5*V2+0.2*V3</t>
  </si>
  <si>
    <t>V1= Sistema Diseñado
V2= Sistema implementado con plataforma tecnologica
V3= Sistema en funcionamiento y certificado</t>
  </si>
  <si>
    <t>V = V1+V2+V3</t>
  </si>
  <si>
    <t>V1= Estudio Economico Residuos inorganicos
V2= Estudio Economico Residuos de Construcción y Demolición (RCD)
V3= Estudio Economico Residuos Sólidos Organicos</t>
  </si>
  <si>
    <t>V = V1/V2*100
V2 = V3-V4</t>
  </si>
  <si>
    <t>V1 = Asociaciones fortalecidas
V2 = Asociaciones cumpliendo en Economía Solidaria
V3 =  Total de asociaciones
V4 = Asociaciones que no cumplen con Economia Solidaria</t>
  </si>
  <si>
    <t xml:space="preserve">V1=Estrategias para el fomento de la producción limpia y el consumo responsable </t>
  </si>
  <si>
    <t>V = V1*V2</t>
  </si>
  <si>
    <t>V1 = Estrategias implementadas
V2 = Negocios Verdes participando</t>
  </si>
  <si>
    <t>V1 = Fortalecimiento en técnicas de producción sostenible
V2 = Fortalecimiento en competitividad
V3 = Fortalecimiento en asociatividad</t>
  </si>
  <si>
    <t>V = Entidades con programas implementados</t>
  </si>
  <si>
    <t>V1 = Número empresas con cambios hacia patrones de producción y consumo sostenible</t>
  </si>
  <si>
    <t>V1 = Número de negocios verdes registrados, evaluados y promovidos</t>
  </si>
  <si>
    <t xml:space="preserve">V1 = Numero obras de desarrollo urbanístico y habitabilidad, aplicando Buenas Prácticas Ambientales y de Construcción Sostenible </t>
  </si>
  <si>
    <t>V1 = Número de establecimientos con usos de alto impacto ambiental de controlados con medidas de mitigación ambiental</t>
  </si>
  <si>
    <t>V1 = Número de mujeres beneficiadas con proyectos para la producción agroecológica y consumo responsables con enfoque diferencial y de género</t>
  </si>
  <si>
    <t>V1 = Número de medidas del Plan Integral de Mitigación y Adaptación al Cambio Climático ejecutadas</t>
  </si>
  <si>
    <t>V1= Vehículos con control y vigilancia de emisiones realizados</t>
  </si>
  <si>
    <t>V1= Cantidad de Hogares Sostenibles con Soluciones Solares Fotovoltaicas&lt;1 Kwp en Cali</t>
  </si>
  <si>
    <t>V1= Cantidad de Hogares Sostenibles con Soluciones Solares Fotovoltaicas=1,8 Kwp enSDL</t>
  </si>
  <si>
    <t>V1= Cantidad de Clientes Oficiales con Soluciones Solares Fotovoltaicas &lt;1 Kwp en Cali</t>
  </si>
  <si>
    <t>V1= Cantidad de Clientes Particulares con Soluciones Solares Fotovoltaicas en SDL</t>
  </si>
  <si>
    <t>V1= Cantidad de Granjas Solares Construidas en SDL</t>
  </si>
  <si>
    <t>V1= Cantidad de Transformadores de Distribución en Aceite Vegetal Instalados en SDL</t>
  </si>
  <si>
    <t>V1= Cantidad de Vehículos Eléctricos en Funcionamiento en EMCALI</t>
  </si>
  <si>
    <t>V1= Cantidad de Estaciones de Recarga Habilitadas para VE en SDL</t>
  </si>
  <si>
    <t>V1: Numero de Empresas conectadas por oficina virtual</t>
  </si>
  <si>
    <t>V1=estudio plan de incentivo al uso de vehiculos electricos e hibridos de servicio publico y particular</t>
  </si>
  <si>
    <t>V1 = Número de proyectos del Plan de Manejo Ambiental del Acuífero ejecutados</t>
  </si>
  <si>
    <t>V1 = PORH río Cañaveralejo
V2 = PORH río Meléndez
V3 = PORH río Lili
V4 = PORH río Cali</t>
  </si>
  <si>
    <t>V1: Fase I: Incorporación de recursos en el presupuesto
V2: Fase II Inicio etapa pre-contractual
V3: Fase III Ejecución contrato de obra e interventoría
V4: Fase IV Recibo de obra, identificación  de activos y aportes</t>
  </si>
  <si>
    <t>10*V1+10*V2+80*V3</t>
  </si>
  <si>
    <t>V1: Etapa I Identificación de áreas susceptibles de implementar
V2: Etapa II Firma convenio municipio de Santiago de Cali y EMCALI
V3: Etapa III Definición del esquema diferencial, tarifas a implementar y metas anuales</t>
  </si>
  <si>
    <t>V1: Numero de reservorios con mantenimiento</t>
  </si>
  <si>
    <t>V1= Anillo a 115 Kv Construido y Funcionando en SDL</t>
  </si>
  <si>
    <t>V1= Subestación de Energía Ladera Construida y Funcionando en SDL</t>
  </si>
  <si>
    <t>Km</t>
  </si>
  <si>
    <t>V1= Kilómetros de Red de Media Tensión Construidos en SDL</t>
  </si>
  <si>
    <t>V1= Equipos de maniobra instalados en SDL</t>
  </si>
  <si>
    <t>V1= Kilómetros Intervenidos Con Cable Ecológico en SDL</t>
  </si>
  <si>
    <t>V1= Nuevos Servicios Instalados por Programa de Reducción de Perdidas de Energía en SDL</t>
  </si>
  <si>
    <t>40*V1+60*V2</t>
  </si>
  <si>
    <t xml:space="preserve">V1: Fase I: Identificación de las estrategias 
V2: Fase II: Implementación y puesta en marcha estrategias </t>
  </si>
  <si>
    <t>V1 = Estrategia  interinstitucional para el manejo de agua residual en Asentamientos Humanos de Desarrollo Incompleto, diseñada y en implementación.</t>
  </si>
  <si>
    <t>V1= Estudios y diseños de la Planta de Tratamiento de Aguas Residuales de Sur (PTAR-S) elaborados</t>
  </si>
  <si>
    <t>V1=Sistemas de tratamiento de agua residual domestica (PTARD) construidas en la zona rural</t>
  </si>
  <si>
    <t>V1=Sistemas individuales de tratamiento de agua residual domestica (SITARD) construidas</t>
  </si>
  <si>
    <t>V1=Planta de tratamiento de agua residual domestica (PTARD) mejoradas en la zona rural.</t>
  </si>
  <si>
    <t>V1=Sistemas individuales de tratamiento de agua residual domestica (SITARD) mejoradas</t>
  </si>
  <si>
    <t>80*V1+20*V2</t>
  </si>
  <si>
    <t>V1: Fase III Ejecución contrato de obra e interventoría
V2: Fase IV Recibo de obra, identificación  de activos y aportes</t>
  </si>
  <si>
    <t>V1 = Número de acciones del Programa de Aire Limpio implementadas</t>
  </si>
  <si>
    <t>V1 = Un Plan de Mejoramiento de Ambiente Sonoro actualizado, adoptado y ejecutado</t>
  </si>
  <si>
    <t>V= Espacio Público asociado al SITM-MIO generado y recuperado.</t>
  </si>
  <si>
    <t>V1= Soluciones peatonales contruidas</t>
  </si>
  <si>
    <t>V1 Número de puentes peatonales con mantenimiento en la zona urbana.
V2 Número de puentes peatonales con mantenimiento en la zona rural</t>
  </si>
  <si>
    <t>V1= metros cuadrados de red peatonal con matenimiento en zona urbana.
V2 = metros cuadrados de red peatonal con mantenimiento en zona rural.</t>
  </si>
  <si>
    <t>V= Red de Ciclo-infraestructura (ciclo rutas integradas al SITM-MIO)  implementadas.</t>
  </si>
  <si>
    <t>V=Puntos de Ciclo-parqueaderos integrados al SITM-MIO construidos</t>
  </si>
  <si>
    <t>V1= longitud de cilclo- infraestructura construida</t>
  </si>
  <si>
    <t>V1= longitud de Km de ciclo-infraestructura con matenimineto</t>
  </si>
  <si>
    <t>V1=Red de Ciclo infraestructura Implementada</t>
  </si>
  <si>
    <t>V1= Puntos de Cicloparqueaderos instalados</t>
  </si>
  <si>
    <t>V1= Estudios Técnicos complementarios para el Tren de Cercanías elaborados
V2= Estudio 2 elaborado
V3= Estudio 3 elaborado</t>
  </si>
  <si>
    <t>V= km de corredores pre troncales del SITM - MIO, adecuados con Carriles preferenciales.</t>
  </si>
  <si>
    <t>V= km de Corredores troncales del SITM - MIO construidos.</t>
  </si>
  <si>
    <t>V= Buses con del SITM-MIO con bajas emisiones en circulación en hora pico. (promedio flota ejecutadal).</t>
  </si>
  <si>
    <t>V=Terminales de cabecera del  SITM-MIO construidas.</t>
  </si>
  <si>
    <t>V=Terminales Intermedias del  SITM MIO, construidas</t>
  </si>
  <si>
    <t>V=Estaciones de parada en corredores troncales del SITM-MIO construidas.</t>
  </si>
  <si>
    <t>V=Patio Talleres del SITM MIO construidos</t>
  </si>
  <si>
    <t>V=sistemas de servicio complementario integrados al SITM-MIO.</t>
  </si>
  <si>
    <t>V= Estudio de prefactivilidad de la segunda linea del Sistema aerosupendido para el MIO Cable.</t>
  </si>
  <si>
    <t>V1= Reportes de ejecucion de recursos a FESDE</t>
  </si>
  <si>
    <t>V1= Reporte de ejecucion componente tecnologico al SITM</t>
  </si>
  <si>
    <t xml:space="preserve">V= Estrategias financieras y operativas de optimización del SITM-MIO. </t>
  </si>
  <si>
    <t>V1= intersecciones viales a desnivel construidas.</t>
  </si>
  <si>
    <t>V1= Intersecciones viales a nivel construidas</t>
  </si>
  <si>
    <t>V1= vias y obras de drenaje en zona urbana construidas.
V2= vias y obras de drenaje en zona rual construida.</t>
  </si>
  <si>
    <t>V1= puentes vehiculares en zona urbana con mantenimiento.
V2= puentes vehiculares en zona rural con matenimiento.</t>
  </si>
  <si>
    <t>V1= frentes de trabajo megaobras en ejecucion.</t>
  </si>
  <si>
    <t>V1= sistema de gestion vilade infraestructura implementado.
V2= sistema de gestion val programado.</t>
  </si>
  <si>
    <t>V1= kilometros de obra construidos</t>
  </si>
  <si>
    <t>V1= Red semaforizada con mantenimiento</t>
  </si>
  <si>
    <t>V1= Puntos de la red vial señalizados</t>
  </si>
  <si>
    <t>V1=Operativos en vía realizados</t>
  </si>
  <si>
    <t>V1=V1= Plan Especial de Transporte de Carga y Logística para Cali</t>
  </si>
  <si>
    <t>V1=Acciones del plan local de seguridad vial Implementados</t>
  </si>
  <si>
    <t>V1=Infraestructura física tecnológica para atención efectiva integral al usuario realizada</t>
  </si>
  <si>
    <t>V1=Centro de enseñanza automovilística de Distrito de Cali operando</t>
  </si>
  <si>
    <t>V1=Actores de la movilidad sensibilizados</t>
  </si>
  <si>
    <t>V1=Promoción de comportamientos y prácticas seguras para la movilidad realizadas</t>
  </si>
  <si>
    <t>V1=Espacios de participación e interacción con los diversos actores viales implementados</t>
  </si>
  <si>
    <t>V1= Planes especiales zonales de gestión del estacionamiento formulados</t>
  </si>
  <si>
    <t>V1= Verificaciones de Riesgos por Fenómenos de Origen Tecnológico
V2= Verificaciones de Riesgos por Fenómenos de Origen Socio-natural
V3= Verificaciones de Riesgos por Fenómenos de Origen Natural
V4= Verificaciones de Riesgos por Fenómenos de Origen Antrópico</t>
  </si>
  <si>
    <t>V1= Sistema integral de información de la gestión del riesgo, diseñado (20%)
V2= Sistema integral de información de la gestión del riesgo, implementado (80%)</t>
  </si>
  <si>
    <t>V1= Documento de Plan de Gestión del Riesgo de Desastres de Santiago de Cali ajustado</t>
  </si>
  <si>
    <t>V1= Etapa de Estructura, Desmonte, Demolición y nivelación (30%) 
V2= Etapa de Estructuras de concreto reforzado y redes (20%)
V3= Etapa de Cableado, redes electricas, mamposteria y acabados (20%)
V4= Etapa de Dotación de oficinas, almacenamiento, sistemas de seguridad (20%)</t>
  </si>
  <si>
    <t>V1 = Número de redes para la vigilancia e identificación de amenazas socio naturales generadoras de riesgo fortalecidas y en funcionamiento</t>
  </si>
  <si>
    <t>((V1+V2+V3)/3)/V4)*100</t>
  </si>
  <si>
    <t>V1= Area del Suelo Urbano con Modelo de Exposición elaborado
V2= Area del Suelo Urbano con Modelo de Vulnerabilidad elaborado
V3= Area del Suelo Urbano con Modelo de Riesgo elaborado
V4= Area total del Suelo Urbano</t>
  </si>
  <si>
    <t>((V1/V2)*0.70+(V3/V4)*0.30)*100</t>
  </si>
  <si>
    <t>V1= Area cubierta con estudios básicos sobre movimientos en masa
V2= Area de ladera del municipio
V3= Area cubierta con estudios de detalle sobre movimeintos en masa
V4= Area de ladera del municipio que requiere estudios de detalle por movimientos en masa</t>
  </si>
  <si>
    <t xml:space="preserve"> V1 = Evaluación de riesgo por inundaciones pluviales y fluviales de la comuna 22, área de expansión urbana, corredor Cali- Jamundí y área suburbana de Pance, elaborada</t>
  </si>
  <si>
    <t>V1=Techos restituidos</t>
  </si>
  <si>
    <t>V1: Subsidio municipal de vivienda de interés social, modalidad arrendamiento proceso reasentamiento asignado</t>
  </si>
  <si>
    <t>V1= metros cubicos de obras de contencion construidos.</t>
  </si>
  <si>
    <t>(V1+V2)/(V3+V4) x 100</t>
  </si>
  <si>
    <t>V1 = Servicios de urgencias  que cumplen con requisitos de seguridad  en la respuesta a urgencias, emergencias y desastres
V2: Ambulancias que cumplen con requisitos de seguridad  en la respuesta a urgencias, emergencias y desastres
V3 = Servicios de urgencias habilitados
V4:  Ambulancias habilitadas</t>
  </si>
  <si>
    <t>V1 = Número de obras e intervenciones para la reducción del riesgo por amenaza natural y socio natural, en el área urbana y periurbana, ejecutadas</t>
  </si>
  <si>
    <t>V1 = Diseño de los pilotos.
V2= Número de pilotos de Sistemas Urbanos de Drenaje Sostenible (SUDS) y Soluciones Basadas en la Naturaleza  (SBN) en funcionamiento</t>
  </si>
  <si>
    <t>V1: Metros Cuadrados Estabilizados</t>
  </si>
  <si>
    <t>V1= Personas Fortalecidas en el Conocimiento de las Buenas Prácticas para la Gestión del Riesgo</t>
  </si>
  <si>
    <t>V= V1+V2+V3+V4+V5+V6+V7</t>
  </si>
  <si>
    <t>V1= Reasentados voluntarios VIP
V2=Reasentados voluntarios modalidad compensación económica a título de subsidio
V3=No localizados
V4=Restituidos
V5=Subsidio de relocalización temporal
V6=Compensaciones por vulnerabilidad
V7= Compra de vivienda SVHS</t>
  </si>
  <si>
    <t>V1= Guardianes del jarillón fortalecidos</t>
  </si>
  <si>
    <t>V1= area de techos demolidos por asentamientos.</t>
  </si>
  <si>
    <t>V1= Bocaminas ilegales cerradas</t>
  </si>
  <si>
    <t>V1=Predios con título justificativo de dominio en zonas de riesgo no mitigable por inundaciones adquiridos</t>
  </si>
  <si>
    <t>V1=Estudios y diseños
V2=Hogares reasentados en viviendas productivas</t>
  </si>
  <si>
    <t>V1= Número de VIP construidas y/o compradas</t>
  </si>
  <si>
    <t xml:space="preserve">
V1=Número de kilómetros del Jarillón del Río Cauca reforzados</t>
  </si>
  <si>
    <t>10*V1+20*V2+60*V3+10*V4</t>
  </si>
  <si>
    <t xml:space="preserve">V1: Etapa 1. Convenio SVSH-Gobierno-EMCALI
V2: Etapa 2. Retiro de vivienda, elementos y sedimentos
V3: Etapa 3. Instalacion membrana, equipos e infraestructura
V4: Etapa 4. Recibo de obras y activos EMCALI 
</t>
  </si>
  <si>
    <t>V1= Plan de gestión social elaborado</t>
  </si>
  <si>
    <t>V1= Equipos de Primera Respuesta</t>
  </si>
  <si>
    <t>V1= Estrategia de Respuesta a Emergencias actualizada</t>
  </si>
  <si>
    <t>V1= Integrar Sistemas de Monitoreo Existentes por escenario de riesgo de incendios e inundaciones (20%)
V2= Fortalecer la difusión del Sistema de alertas tempranas con comunidades en sus zonas de influencia para su apropiación (40%)
V3= Actualizar la Aplicación del Sistemas de Alertas Tempranas (30%)
V4= Diseñar el Sistema de Alertas Tempranas de escenario de riesgo por movimientos en masa (10%)</t>
  </si>
  <si>
    <t>V1+V2+…+V5</t>
  </si>
  <si>
    <t>V1: Documento de Diagnostico elaborado.
V2: Proyecto de estructura administrativa propuesta.
V3: Proyecto de propuesta planta de personal. 
V4: Proyecto de acuerdo para aprobación del Concejo Municipal. 
V5: Proyecto de supresión y liquidación de entidades.</t>
  </si>
  <si>
    <t>V1= Modelo de división político administrativa del Distrito Especial revisado adoptado</t>
  </si>
  <si>
    <t>V1= Número de predios con información actualizada
V1= Número de predios registrados en base de catastro (20000)</t>
  </si>
  <si>
    <t>V1= 6 Instrumentos de planificación complementaria del POT formulados
V2= 4 Instrumentos de Planificación divulgados</t>
  </si>
  <si>
    <t>V1= Documento de diagnostico
V2= Documento Técnico de Soporte
V3= Documento de Evaluación del Plan de Ordenamiento Territorial
V4= Propuesta de Revisión / Ajuste
V5= Estudio elaborado por Comuna 22</t>
  </si>
  <si>
    <t>(0.04*V1+0.01*V2)*100</t>
  </si>
  <si>
    <t>V1= Unidades de planificacón urbana y rural formuladas
V2= Unidades de planificación urbana y rural adoptadas</t>
  </si>
  <si>
    <t>V1 + V2 + V3+V4</t>
  </si>
  <si>
    <t>V1= Estatuto de Servicios Públicos, ajustado
V2= Estudios de diagnóstico Plan Parcial Andalucía elaborados
V3= Estudio Torre de Telecomunicaciones
V4= Estudio de prefactibilidad para la localización del cementerio en el oriente, formulado</t>
  </si>
  <si>
    <t xml:space="preserve"> V1 = Estudio para la estructuración y creación de autoridad ambiental distrital</t>
  </si>
  <si>
    <t>V1= Sistema Distrital de Planeación, ajustado y adoptado</t>
  </si>
  <si>
    <t xml:space="preserve">(V1 x 40%) + (V2 x 40%) + (V3 x 20%) </t>
  </si>
  <si>
    <t xml:space="preserve">V1 = Fase de elaboración del plan financiero territorial en salud 
V2 = Programa de reorganización de la red servicios de las ESE. 
V3 =  Fase de certificación de competencias en salud como distrito ante Minsalud 
</t>
  </si>
  <si>
    <t>V1= Plan prospectivo de Cali como Distrito Especial formulado</t>
  </si>
  <si>
    <t>V1: Semilleros itinerantes de Desarrollo Territorial participativo</t>
  </si>
  <si>
    <t>V1=Modelo de Agencia de Cooperación Técnica implementada</t>
  </si>
  <si>
    <t>V1=Proyectos Propuestos de Cooperación Financiera y/o Técnica en Proyectos de Interés de la Administración Pública</t>
  </si>
  <si>
    <t>V1=Alianzas, coordinaciones y/o esquemas asociativos suscritos.</t>
  </si>
  <si>
    <t>V1=Estudio técnico elaborado</t>
  </si>
  <si>
    <t>V1=Modelo de laboratorio, diseñado con organismos, academia y sociedad civil</t>
  </si>
  <si>
    <t>V1=Iniciativas cocreadas frente a problemáticas priorizadas</t>
  </si>
  <si>
    <t>V1=Iniciativas colaborativas para realizar seguimiento a problemas específicos</t>
  </si>
  <si>
    <t>V1= Instrumento de planificación institucional 
 V2= Instrumento de control operacional 
 V3= Instrumento para la gestión de los riesgos
 V4= Instrumento de seguimiento y evaluación de procesos</t>
  </si>
  <si>
    <t>V1= Actividades de ejecución del servicio del deporte, recreación y actividad física realizadas
V2= Actividades de ejecución del servicio del deporte, recreación y actividad física programadas</t>
  </si>
  <si>
    <t>V1= Proceso de Gestión Cultural, bajo las políticas institucionales vigentes</t>
  </si>
  <si>
    <t xml:space="preserve">V1/ V2*100  </t>
  </si>
  <si>
    <t>V1= numero de procesos mejorados/ V2= numero de procesos*100</t>
  </si>
  <si>
    <t xml:space="preserve"> V1 = Procesos institucionales de la autoridad ambiental, conforme a los requerimientos de las políticas institucionales y administrativas vigentes mejorados (9% cada proceso)</t>
  </si>
  <si>
    <t xml:space="preserve"> V1= Funcionarios capacitados en competencias y habilidades</t>
  </si>
  <si>
    <t xml:space="preserve">V1 =  Total  de funcionarios que participan de las  sensibilizaciones </t>
  </si>
  <si>
    <t xml:space="preserve">V1= Intervenciones de clima y cultura realizadas
V2= Mediciones de clima y cultura realizadas
</t>
  </si>
  <si>
    <t>V1 = Fase de Diagnóstico identificación de Gestión del Conocimiento 
 V2= Fase de Generación y producción del Conocimiento
 V3= Fase de Uso y apropiación del conocimiento 
 V4= Fase de compartir y difundir el conocimiento</t>
  </si>
  <si>
    <t xml:space="preserve">V1= Servidores públicos orientados en Código Disciplinario Único 
V2= Ciudadanos orientados en Código Disciplinario Único
</t>
  </si>
  <si>
    <t>V1: Personas formadas de la administración pública en temas de perspectiva de género y enfoque diferencial.</t>
  </si>
  <si>
    <t>V1= Diseños de puestos de trabajo personalizados para funcionarios en condición de discapacidad, elaborados.</t>
  </si>
  <si>
    <t>V1= Puestos de trabajo modificados</t>
  </si>
  <si>
    <t>(V1/V2) * 100</t>
  </si>
  <si>
    <t>V1= Procesos con los niveles de modelación estandarizados bajo AE
 V2= Total de procesos de los Entidad en el Modelo de Operacion por procesos - MOP</t>
  </si>
  <si>
    <t>V1: Número de procedimientos de la DATIC modelados bajo BPM
 V2: Número total de procedimientos de DATIC</t>
  </si>
  <si>
    <t>V1: Número de fases del Marco de gestión de capacidades de negocio de la entidad Implementadas.
 V2: Número de fases del Marco de gestión de capacidades de negocio de la entidad establecidas.</t>
  </si>
  <si>
    <t>V1= Instrumento Planeación de la Arquitectura de la Alcaldía de Santiago de Cali.
 V2= Instrumento Arquitectura Misional de la Alcaldía de Santiago de Cali.</t>
  </si>
  <si>
    <t>M= V1+V2+V3+V4+V5</t>
  </si>
  <si>
    <t>V1: Servicio de información para la compra pública (0.40)
 V2: Servicio de educación informal dirigido al comprador público (0.20)
 V3: Servicios de divulgación en temas relacionados con los servicios de apoyo a la compra pública (0.10)
 V4: Instrumentos de agregación de demanda (0.10)
 V5: Documentos de lineamientos técnicos (0.20)</t>
  </si>
  <si>
    <t>V1: Número de  estrategias para implementar las  políticas del Modelo Integrado de Planeación y Gestión de responsabilidad de DATIC Implmentadas.
 V2: Número de estrategias para implementar las  políticas del Modelo Integrado de Planeación y Gestión de responsabilidad de DATIC diseñadas</t>
  </si>
  <si>
    <t>(V1+V2+V3+V4)</t>
  </si>
  <si>
    <t>V1= Documento de la fase diagnostico del sistema de Seguridad y Privacidad de la Información
V2= Documentos de la fase de planificación del sistema de Seguridad y Privacidad de la Información
V3= Documentos de la fase de implemntación del sistema de Seguridad y Privacidad de la Información
V4= Documento de la fase de evaluación del desempeño del sistema de Seguridad y Privacidad de la Información.</t>
  </si>
  <si>
    <t>V1= Fase del Diagnostico del Modelo de teletrabajo realizada.
V2= Fase del Diseño del Modelo de teletrabajo realizada.
V3= Fase de Evaluación y mejora del Modelo de Teletrabajo realizada</t>
  </si>
  <si>
    <t>V1= Requisitos actualizados de la norma NTC ISO 9001:2015 
V2= Total de requisitos de la  Norma NTC ISO  9001:2015</t>
  </si>
  <si>
    <t xml:space="preserve">V1=Líneas de servicios del proceso Desarrollo Económico cerficadas </t>
  </si>
  <si>
    <t>V1=Líneas de servicios del Proceso Servicios Públicos certificadas bajo la ISO 9001:2015</t>
  </si>
  <si>
    <t>V1: Actividades realizadas del proceso de participación.
 V2: Total de actividades del Proceso de Participación.</t>
  </si>
  <si>
    <t>V1= Bibliotecas Públicas del proceso de Gestión Cultural certificadas bajo la norma Técnica de Gestión de Calidad ISO 9001:2015</t>
  </si>
  <si>
    <t>V1: Número de líneas certificadas</t>
  </si>
  <si>
    <t>V1=Líneas del servicio del organismo certificadas</t>
  </si>
  <si>
    <t xml:space="preserve">V1: Primera linea de servicio 
V2: segunda linea de servicio </t>
  </si>
  <si>
    <t>V1+V2…+V7</t>
  </si>
  <si>
    <t>V1: Política institucional de servicio al ciudadano elaborada o actualizada 
 V2:Herramientas de seguimiento y evaluación elaborada o actualizada 
 V3: Estudio de trámites para la ciudad elaborado o actualizado 
 V4: Manual de Servicio al ciudadano elaborada o actualizada
 V5: Herramientas peticiones verbales para la recepción y desempeño elaboradas o actualizadas 
 V6:Mecanismos de evaluación periodica de servicio al ciudadano elaborados o actualizados 
 V7: Diagnóstico de los laboratorios de simplicidad elaborados o actualizados</t>
  </si>
  <si>
    <t>V1: Acciones de racionalización implementadas</t>
  </si>
  <si>
    <t>V1= Número de edificaciones mantenidas</t>
  </si>
  <si>
    <t>V1= Número de Bienes Muebles actualizados
V1= Número Bienes Muebles registrados en SAP(60000)</t>
  </si>
  <si>
    <t>(V1/V2)*6 + (V3/V4)*6 + (V5/389)*3</t>
  </si>
  <si>
    <t>V1: Número de servidores públicos capacitados en roles de Seguridad vial (Presencial y Virtual) (2816).
V2: Total de servidores Públicos en el Distrito de Santiago de Cali  (7000)
V3: Número de servidores públicos con procesos de evaluación médica psicosensométrica, teóricas y prácticas realizados (400).
V4: Total de servidores públicos que conducen vehículos oficiales (856)
V5: Kits de seguridad Víal Adquiridos (40)</t>
  </si>
  <si>
    <t>V1: Imágenes digitalizadas y organizadas archivisticamente
 V2: Imágenes programadas para digitalizar y organizar archivisticamente</t>
  </si>
  <si>
    <t>V1: Expedientes del inventario de gestión documental sistematizados</t>
  </si>
  <si>
    <t xml:space="preserve">V1= Expedientes terminados de vigencias anteriores </t>
  </si>
  <si>
    <t>V1=Lineamientos estratégicos y componentes requeridos para una adecuada gestión del ciclo de defensa jurídica
V2=Lineamientos para la formulación de política y metodologías para asegurar la producción normativa</t>
  </si>
  <si>
    <t>V1=Proceso de gestión de tránsito y transporte Implementado</t>
  </si>
  <si>
    <t>VI=Red de gestión de información y del conocimiento diseñado y operado</t>
  </si>
  <si>
    <t>V1:Sistema de Gestión del Conocimiento</t>
  </si>
  <si>
    <t xml:space="preserve"> V1= Pasivo pensional</t>
  </si>
  <si>
    <t>V1= Plan de Desarrollo Distrital difundido
V2= Planes de Desarrollo de Comunas y Corregimientos difundidos</t>
  </si>
  <si>
    <t>V1= Plan de Desarrollo Municipal con S. y E.
V2= Planes de Desarrollo de Comunas y Corregimientos con S. y E.</t>
  </si>
  <si>
    <t>V1= Políticas públicas evaluadas</t>
  </si>
  <si>
    <t>V1= Solicitudes de Encuesta SISBEN atendidas
V2= Solicitudes de Encuesta SISBEN radicadas</t>
  </si>
  <si>
    <t>V1= Archivo Municipal de Datos Actualizado</t>
  </si>
  <si>
    <t>V1= Indicadores actualizados
V2= Total indicadores</t>
  </si>
  <si>
    <t>V1= Documentos con estadísticas básicas publicados</t>
  </si>
  <si>
    <t>V1 = Estrato asignado
V2 = Solicitudes para asignación de estrato</t>
  </si>
  <si>
    <t>V1= Registros de predios con nomenclatura depurada
V2= Registros predios de nomenclatura por depurar</t>
  </si>
  <si>
    <t>V1= Servicios Web Geográficos en la IDESC disponibles
V2= Productos de Información Geográfica en la IDESC disponibles</t>
  </si>
  <si>
    <t>(V1 / V2) * 100</t>
  </si>
  <si>
    <t>V1: Acciones realizadas 
V2: Acciones requeridas</t>
  </si>
  <si>
    <t>V1: Estudios realizados por el observatorio de turismo</t>
  </si>
  <si>
    <t>V1= Encuesta multipropósito de empleo y calidad de vida</t>
  </si>
  <si>
    <t xml:space="preserve">V1=  Estudios Sobre Economia Creativa ; V2= Estudios Economía Digital ; V3= Estudios Economía Circular; V4=Estudios temas de Desarrollo en la región </t>
  </si>
  <si>
    <t>V1=Fortalecimiento tecnológico (30%)
V2=Generación de conocimiento (20%)
V3=Difusión para la formación ambiental (40%)</t>
  </si>
  <si>
    <t>V1:Politicas Públicas Sociales con monitoreo y seguimiento</t>
  </si>
  <si>
    <t>V1= Investigaciones realizadas</t>
  </si>
  <si>
    <t>V1: Investigaciones Realizadas</t>
  </si>
  <si>
    <t>V1=Investigaciones en el Marco del Observatorio de la vigilancia de la conducta oficial en tema del servidor público</t>
  </si>
  <si>
    <t>V1= investigaciones producidas</t>
  </si>
  <si>
    <t>V1: Observatorio de Hacienda Pública operando</t>
  </si>
  <si>
    <t>V1 = Un Sistema de Información Geográfico -SIG para el manejo de  Sustancias Químicas y Residuos Peligrosos en el marco del COTSA, bajo el modelo de arquitectura empresarial, estructurado y en implementación.</t>
  </si>
  <si>
    <t>V1= Estudio de mercado por clústeres, existentes en el municipio de Santiago de Cali, elaborado</t>
  </si>
  <si>
    <t xml:space="preserve"> V1:Investigaciones cuantitativa y cualitativa en temas de paz, cultura ciudadana, respeto por la casa común y otros seres sintientes, derechos humanos y acuerdo de paz realizadas</t>
  </si>
  <si>
    <t>V1= Estudios de factibilidad de proyectos estrategicos del plan de desarrollo elaborados</t>
  </si>
  <si>
    <t>V1: Número de conjuntos de datos con Modelo de Big Data implementados</t>
  </si>
  <si>
    <t>V1: Número de Datacenter de la alcaldía de Santiago de Cali unificado</t>
  </si>
  <si>
    <t>V1: Actividades realizadas para el funcionamiento de la plataforma virtual.
 V2: Total de actividades para la implemtación de la plataforma virtual</t>
  </si>
  <si>
    <t>V1: Número de Modelos de inteligencia artificial formulado</t>
  </si>
  <si>
    <t>V1: Nivel de Implementacion del Sistema de Gestión de Seguridad de la Información (Resultado de la evaluación del Instrumento de Evaluación MSPI del Ministerio de TIC)</t>
  </si>
  <si>
    <t>V1: Puntos de actención con cultura del servicio orientad al ciudadano operando.
 V2: Total de puntos de atención</t>
  </si>
  <si>
    <t>V1= Numero de procesos automatizados en un sistema 
 V2= Numero de procesos del sector educativo</t>
  </si>
  <si>
    <t>V1=Calidad, disponibilidad y caracterización de la información
V2=Selección, ajuste y entrenamiento del modelo
V3=Visualización e implementación del modelo</t>
  </si>
  <si>
    <t>V1= Centro de Gestión del Conocimiento</t>
  </si>
  <si>
    <t>V1: Numero de dispositivo de hardware en obsolecencia teconilogica renovados
 V2: Numero de total de dispositivo de hardware en obsolecencia teconologica identificados</t>
  </si>
  <si>
    <t>((V1 + V2)/2)*100%</t>
  </si>
  <si>
    <t>V1: Modelo de Arquitectura Empresarial del dominio de sistemas de información de la entidad implementado (0,5)
 V2: Modelo de Arquitectura Empresarial del dominio de infraestructura tecnologíca de la entidad implementado (0,5)</t>
  </si>
  <si>
    <t>V1: Número de Sistemas de información activos de la entidad interoperando
 V2: Número de Sistemas de información activos de la entidad</t>
  </si>
  <si>
    <t>V1: Número de Sistemas de Información de la entidad modernizados
 V2: Número Sistemas de Información de la entidad activos</t>
  </si>
  <si>
    <t>V1: Número de Trámites y servicios parcialmente automatizados 
 V2: Número de Trámites y servicios totalmente automatizados</t>
  </si>
  <si>
    <t>V1= IEO con sistema de matrícula en línea vía web
 V2= Total de Instituciones Educativas Oficiales</t>
  </si>
  <si>
    <t>V1= Planos escaneados y digitalizados (base de datos)
V2= Total de planos inventariados en Planoteca DAPM</t>
  </si>
  <si>
    <t>V1= Referentes físicos de la Red de Control Geodésico de Santiago de Cali materializados</t>
  </si>
  <si>
    <t xml:space="preserve">V1= Sistema de información cultural y de gestión del patrimonio, operando </t>
  </si>
  <si>
    <t>V1= Sistema de informacion de control urbanistico implementado y mantenido</t>
  </si>
  <si>
    <t>V1= Reporte de quejas</t>
  </si>
  <si>
    <t>Millones de Pesos</t>
  </si>
  <si>
    <t>V1: Cartera Recuperada</t>
  </si>
  <si>
    <t>V1= Recaudo de ingresos de impuesto Predial Unificado 
V2= Recaudo de ingresos de Impuesto de Industria Y Comercio
V3= Recaudo de ingresos de otros Impuestos</t>
  </si>
  <si>
    <t xml:space="preserve">V1= Contribuyentes  del Impuesto Predial Unificado, Industria y Comercio y otros  que pagaron oportunamente en la vigencia de medicion.   
V2= Total Documentos  emitidos de cobro de Impuesto Predial Unificado, Industria y Comercio y otros.   </t>
  </si>
  <si>
    <t>V1(0,67)+V2(0.33)</t>
  </si>
  <si>
    <t>V1= Realizar Censo tributario urbano(0,67)
V2= Realizar  Censo Tributario rural (0,33)</t>
  </si>
  <si>
    <t>V1: Predios Rurales Actualizados.</t>
  </si>
  <si>
    <t>V1: predios actualizados por conservacion catastral</t>
  </si>
  <si>
    <t>V1: Software del Sistema de Informaciòn Catastral implementado</t>
  </si>
  <si>
    <t>V1: Catastro Multipropósito Implementado</t>
  </si>
  <si>
    <t>V1=cartera de infracciones de tránsito recuperada 
 V2= total de cartera morosa de infracciones de tránsito</t>
  </si>
  <si>
    <t xml:space="preserve">V1 = Proyecto de acuerdo municipal con incentivos tributarios </t>
  </si>
  <si>
    <t>V1= Cartera recuperada</t>
  </si>
  <si>
    <t>V1: Actividades del plan de acción del sistema de participación realizadas.
 V2: Total de actividades del plan de acción del sistema de participación.</t>
  </si>
  <si>
    <t>V1: Personas pertenecientes a grupos de valor fortalecidas en capacidades comunitarias.</t>
  </si>
  <si>
    <t>V1: Iniciativas lúdicas, académicas y comunitarias para la promoción de la participación ciudadana implementadas</t>
  </si>
  <si>
    <t>V1: Planes de desarrollo de nivel territorial formulados</t>
  </si>
  <si>
    <t>V1: Organismo comunales inspeccionados, vigilados y controlados en el cumplimiento de la norma comunal.
 V2: Total de organismos comunales del Territorio</t>
  </si>
  <si>
    <t>V1:Actividades realizadas de la estrategia de Resiliencia de Santiago de Cali.
V2: Total actividades de la Estrategia de Resilienca de Santago de Cali</t>
  </si>
  <si>
    <t>V1: Estimulos entregados a propuestas, de organizaciones sociales y comunitarias, para la Transformación de Realidades Sociales en los territorios priorizados TIO´s.</t>
  </si>
  <si>
    <t>V1= Sistema Municipal de Cultura funcionando</t>
  </si>
  <si>
    <t>V1:Mujeres vinculadas a procesos de formación política</t>
  </si>
  <si>
    <t>V1=Red de agentes institucionales con un plan específico para buen gobierno, abierto a la ciudadanía; operando</t>
  </si>
  <si>
    <t>V1: Estrategia de Comunicación clara y transparente implementada.</t>
  </si>
  <si>
    <t>V1 / V2</t>
  </si>
  <si>
    <t>V1: Número de usuarios de servicios públicos capacitados en competencias TIC
 V2: Número de usuarios proyectados para capacitar en competencias TIC</t>
  </si>
  <si>
    <t>V1= Estrategias de rendición de cuentas implementadas</t>
  </si>
  <si>
    <t>V1=Política Pública de Cultura Ciudadana formulada. 
 V2=Política Pública de Cultura Ciudadana aprobada. 
 V3= Política Pública de Cultura Ciudadana socializada</t>
  </si>
  <si>
    <t>V1: Actividades de la Estrategia para el fomento del derecho a la libertad religiosa y la participación ciudadana realizadas</t>
  </si>
  <si>
    <t>V1=Personas formadas en cultura ciudadana para la paz, la convivencia y reconciliación</t>
  </si>
  <si>
    <t>V1=Iniciativas institucionales y comunitarias en cultura ciudadana y construción de paz apoyadas</t>
  </si>
  <si>
    <t>V1=Colectivos Urbanos y rurales de cultura ciudadana y construcción de Paz apoyados y promovidos</t>
  </si>
  <si>
    <t>V1=Iniciativas institucionales de promoción a la caleñidad implementadas</t>
  </si>
  <si>
    <t>V1=Encuentros ciudadanos de sensibilización en temas de cultura ciudadana realizados</t>
  </si>
  <si>
    <t>V1: Politica pública formulada
V2: Política Pública adoptada</t>
  </si>
  <si>
    <t>Secretaría de Paz y Cultura Ciudadana</t>
  </si>
  <si>
    <t>Secretaría de Vivienda Social y Hábitat</t>
  </si>
  <si>
    <t>Secretaría de Desarrollo Territorial y Participación Ciudadana</t>
  </si>
  <si>
    <t>Secretaría de Infraestructura</t>
  </si>
  <si>
    <t>Instituto Popular de Cultura</t>
  </si>
  <si>
    <t>Secretaría de Gestión del Riesgo Emergencias y Desastres</t>
  </si>
  <si>
    <t>Secretaría de Gobierno</t>
  </si>
  <si>
    <t>Departamento Administrativo de Control Interno</t>
  </si>
  <si>
    <t>Control Disciplinario Interno</t>
  </si>
  <si>
    <t>Departamento Administrativo de Gestión Jurídica Pública</t>
  </si>
  <si>
    <t>Departamento Administrativo de Hacienda</t>
  </si>
  <si>
    <t>Cali, Solidaria por la Vida</t>
  </si>
  <si>
    <t>5201
Distrito Reconciliado</t>
  </si>
  <si>
    <t>5201001
Derechos Humanos, Paz y Reconciliación</t>
  </si>
  <si>
    <t>Política pública de Derechos Humanos formulada, aprobada y adoptada</t>
  </si>
  <si>
    <t>En el periodo 2021-2023 se sensibilizan a 2.400 niños, niñas adolescentes y jóvenes  para la prevención de los delitos de desaparición, trata, reclutamiento forzado, uso y utilización de menores</t>
  </si>
  <si>
    <t>Niños, niñas, adolescentes y jóvenes sensibilizados para la prevención de los delitos de desaparición, trata, reclutamiento forzado, uso y utilización de menores</t>
  </si>
  <si>
    <t>En el periodo 2020-2023 participan 4.000 Personas en la promoción y protección de Derechos Humanos, la naturaleza, los seres sintientes y la prevención de sus vulneraciones</t>
  </si>
  <si>
    <t>Personas que participan en la promoción y protección de Derechos Humanos, la naturaleza, los seres sintientes y la prevención de sus vulneraciones</t>
  </si>
  <si>
    <t>En el periodo 2021-2023 se crean 246 espacios de diálogo, reconciliación, construcción de paz y Cuidado de la Casa Común</t>
  </si>
  <si>
    <t>Espacios de diálogo, reconciliación, construcción de paz y Cuidado de la Casa Común creados</t>
  </si>
  <si>
    <t xml:space="preserve">En el periodo 2021-2023 se brinda orientación social, política y comunitaria a 600 personas en proceso de reincorporación, reintegración, desvinculados del conflicto armado  </t>
  </si>
  <si>
    <t>Personas en proceso de reincorporación, reintegración, desvinculados del conflicto armado con orientación social, política y comunitaria</t>
  </si>
  <si>
    <t>En el periodo 2020-2023 se adecua, equipa y pone en operación  el museo de la casa de las memorias del conflicto y la reconciliación</t>
  </si>
  <si>
    <t>Museo de la Casa de las Memorias del Conflicto y la Reconciliación adecuado, equipado y en operación en el territorio</t>
  </si>
  <si>
    <t>En el periodo 2020-2023 se implementa el 47% del  plan de paz y convivencia pacífica</t>
  </si>
  <si>
    <t>Plan de paz y convivencia pacífica implementado</t>
  </si>
  <si>
    <t>En el periodo 2021-2023 se implementan once (11) Iniciativas de justicia comunitaria para la prevención y transformación de conflicto</t>
  </si>
  <si>
    <t>Iniciativas de justicia comunitaria para la prevención y transformación de conflictos, implementadas</t>
  </si>
  <si>
    <t>En el período 2021-2023 se cuenta con el Plan municipal de reincorporación y reconciliación con enfoque de género y diferencial  formulado e implementado</t>
  </si>
  <si>
    <t>Plan distrital de reincorporación y reconciliación con enfoque de género y diferencial formulado e implementado</t>
  </si>
  <si>
    <t>En el período 2021-2023 se crean diez (10) Iniciativas institucionales de prevención y promoción de la vulneración de derechos humanos en Salud y en salud mental</t>
  </si>
  <si>
    <t>Iniciativas institucionales de prevención y promoción de la vulneración de derechos humanos en salud y en salud mental creadas</t>
  </si>
  <si>
    <t xml:space="preserve"> En el período 2021-2023 se implementa una (1) red de defensoras y defensores populares de DDHH y construcción de paz urbana </t>
  </si>
  <si>
    <t>Red de defensoras y defensores populares de DDHH y construcción de paz urbana implementada</t>
  </si>
  <si>
    <t xml:space="preserve"> En el periodo 2021-2023 se desarrollan seis (6) Iniciativas de prevención, promoción y protección ante la feminización de la vulneración de los Derechos Humanos y del DIH</t>
  </si>
  <si>
    <t>Iniciativas de prevención, promoción y protección ante la feminización de la vulneración de los Derechos Humanos y del DIH, desarrolladas</t>
  </si>
  <si>
    <t xml:space="preserve">  En el periodo 2021-2023 se adopta la Política pública de paz y reconciliación</t>
  </si>
  <si>
    <t>Política pública de paz y reconciliación, adoptada</t>
  </si>
  <si>
    <t xml:space="preserve"> En el periodo 2021-2023 se construye una (1) Ruta para la protección de las violencias individuales y colectivas contra líderes y lideresas de procesos, organizaciones y movimientos sociales </t>
  </si>
  <si>
    <t>Ruta para la protección de las violencias individuales y colectivas contra líderes y lideresas de procesos, organizaciones y movimientos sociales</t>
  </si>
  <si>
    <t xml:space="preserve"> En el periodo 2020 - 2023, se implementan y funcionan en 30 sedes de las IEO un programa de mediación escolar</t>
  </si>
  <si>
    <t>Sedes de las IEO con programa de mediación escolar implementado y funcionando</t>
  </si>
  <si>
    <t xml:space="preserve">En el período 2021-2023 se coordinarán 4 espacios intersectoriales e interinstitucionales  en estrategias de corresponsabilidad y cooperación en la consolidación de la paz territorial  </t>
  </si>
  <si>
    <t>Espacios intersectoriales e interinstitucionales coordinados en estrategias de corresponsabilidad y cooperación en la consolidación de la paz territorial junto con líderes territoriales</t>
  </si>
  <si>
    <t>5201002
Cali Distrito Previene las Violencias</t>
  </si>
  <si>
    <t>En el período 2020-2023 se sensibilizan 12000 Personas que incurren en comportamientos contrarios a la convivencia.</t>
  </si>
  <si>
    <t>Personas que incurren en comportamientos contrarios a la convivencia sensibilizadas</t>
  </si>
  <si>
    <t>En el periodo 2020-2023 participan 35000 personas en estrategia de prevención de la violencia familiar y sexual.</t>
  </si>
  <si>
    <t>Personas participando en la estrategia de prevención de la violencia familiar y sexual</t>
  </si>
  <si>
    <t xml:space="preserve">En el periodo 2020-2023, 30 Instituciones Educativas Oficiales con escuelas de familia que incorporan el enfoque de derechos y género respecto por la casa común y otros seres sintientes </t>
  </si>
  <si>
    <t>Comunidad educativa de las Instituciones Educativas Oficiales con escuelas de familia que incorporan el enfoque de derechos, género y respeto por la Casa Común y otros seres sintientes</t>
  </si>
  <si>
    <t>En el periodo 2020 - 2023, 92 Instituciones educativas Oficiales   cuentan con apoyo Psicosocial para la salud mental</t>
  </si>
  <si>
    <t>Instituciones Educativas Oficiales que cuentan con apoyo psicosocial para la salud mental y prevención de los diferentes tipos de violencia</t>
  </si>
  <si>
    <t xml:space="preserve"> En el período 2021-2023 se fortalecen cincuenta (50) Instituciones Educativas Oficiales en estrategias distritales en educación para la paz y gestión dialógica del conflicto</t>
  </si>
  <si>
    <t>Instituciones Educativas Oficiales que fortalecen estrategias distritales en educación para la paz y gestión dialógica del conflicto</t>
  </si>
  <si>
    <t>En el periodo 2020 - 2023, 92 Instituciones educativas Oficiales participan en la implementación del observatorio de convivencia escolar</t>
  </si>
  <si>
    <t>Instituciones Educativas Oficiales que participan en la implementación del observatorio de convivencia escolar para el Distrito</t>
  </si>
  <si>
    <t>En el período 2021-2023 se formula, aprueba y socializa la Política Pública de Barrismo Social articulada con la ley 1445 de 2011</t>
  </si>
  <si>
    <t>Política Pública de Barrismo Social formulada, aprobada y socializada, articulada con la ley 1445 de 2011</t>
  </si>
  <si>
    <t>En el periodo 2020-2023 se pasa de 4 a 7 Centros de Orientación Familiar (COF) con atención psicosocial y jurídica para la prevención de las violencias y la vulneración de los derechos.</t>
  </si>
  <si>
    <t>Centros de orientación familiar funcionando como estrategia para la prevención de las violencias y para el fortalecimiento de habilidades para la vida, el trabajo y la convivencia de las Familias, con el enfoque interespecie incorporado para la atención diferencial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</si>
  <si>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</si>
  <si>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</si>
  <si>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 xml:space="preserve"> En el período 2021-2023 se implementan cuatro (4) estrategias encaminadas a promover una cultura de paz interespecie y disminuir la violencia hacia los animales no humanos</t>
  </si>
  <si>
    <t>Estrategias encaminadas a promover una cultura de paz interespecie y disminuir la violencia hacia los animales no humanos</t>
  </si>
  <si>
    <t>5201003
Seguridad y Lucha Contra el Delito</t>
  </si>
  <si>
    <t>En el periodo 2020-2021 se formula y adopta la Política Pública de Seguridad y Convivencia Ciudadana.</t>
  </si>
  <si>
    <t>Política Pública de Seguridad y Convivencia Ciudadana formulada y adoptada</t>
  </si>
  <si>
    <t xml:space="preserve">En el período 2021-2023 se intervienen en seguridad y convivencia 13 Zonas turísticas afectadas por el delito de hurto  </t>
  </si>
  <si>
    <t>Zonas turísticas afectadas por el delito de hurto intervenidas en seguridad y convivencia</t>
  </si>
  <si>
    <t>En el período 2020-2023 se apoyan 3 agencias de seguridad  para el fortalecimiento del proceso investigativo contra el crimen.</t>
  </si>
  <si>
    <t>Agencias de seguridad para el fortalecimiento del proceso investigativo contra el crimen, apoyadas</t>
  </si>
  <si>
    <t>En el periodo 2020-2023 se apoyan 6 agencias de seguridad en su operatividad.</t>
  </si>
  <si>
    <t>Agencias de seguridad y justicia apoyadas en su operatividad</t>
  </si>
  <si>
    <t>En el período 2020-2023 se adecuan 10 infraestructuras de las agencias de seguridad y justicia.</t>
  </si>
  <si>
    <t>Infraestructura de agencias de seguridad y justicia adecuadas</t>
  </si>
  <si>
    <t>En el período 2020-2023 operan 60 mesas de seguridad vecinal con enfoque de prevención situacional del delito.</t>
  </si>
  <si>
    <t>Mesas de seguridad vecinales con enfoque de prevención situacional del delito operando</t>
  </si>
  <si>
    <t>A diciembre de 2023 se implementan 1000 Sistema de monitoreo y alerta para la prevención y/o disminución del delito</t>
  </si>
  <si>
    <t>Sistemas de monitoreo y alerta del delito implementado</t>
  </si>
  <si>
    <t>En el periodo 2021-2023 se intervienen 45 entornos de las Instituciones Educativas con estrategia intersectorial de erradicación del microtráfico</t>
  </si>
  <si>
    <t>Entornos de las Instituciones Educativas intervenidos con estrategia intersectorial de erradicación del microtráfico</t>
  </si>
  <si>
    <t>5201004
Fortalecimiento de Sistemas Locales de Justicia y Penitenciarios</t>
  </si>
  <si>
    <t>En el periodo 2020-2023 se adecua la infraestructura de  2 centros penitenciarios</t>
  </si>
  <si>
    <t>Infraestructura penitenciaria adecuada</t>
  </si>
  <si>
    <t>En el período 2020-2023 se intervienen 200 adultos y adolescentes que incurren en responsabilidad penal, con acompañamiento psicosocial y/o procesos de justicia restaurativa.</t>
  </si>
  <si>
    <t>Población de adultos y adolescentes que incurren en responsabilidad penal, intervenidos con acompañamiento psicosocial y/o procesos de justicia restaurativa</t>
  </si>
  <si>
    <t>En el período 2020-2023 se adecuan 2 centro de formación para menores infractores</t>
  </si>
  <si>
    <t>Centros de formación para menores infractores adecuados</t>
  </si>
  <si>
    <t>En el periodo 2021-2023 funciona el centro de conciliación en casa de justicia.</t>
  </si>
  <si>
    <t>Centro de conciliación en casa de justicia funcionando</t>
  </si>
  <si>
    <t>En el período 2020-2023 se adecuan 39 despachos de acceso a la justicia.</t>
  </si>
  <si>
    <t>Despachos de Acceso a la Justicia adecuados</t>
  </si>
  <si>
    <t>En el periodo 2021-2023 se implementan 4  espacios nuevos de acceso a la justicia.</t>
  </si>
  <si>
    <t>Nuevos Espacios de acceso a la justicia Implementados</t>
  </si>
  <si>
    <t>A Diciembren 2022 se realiza un (1) diseño de infraestructura Cárcelaria.</t>
  </si>
  <si>
    <t>Diseño de infraestructura carcelaria realizado</t>
  </si>
  <si>
    <t>Jóvenes vinculados al sistema de responsabilidad penal con restitución del derecho a la educación</t>
  </si>
  <si>
    <t>5201005
Atención Integral a las Víctimas del Conflicto</t>
  </si>
  <si>
    <t>En el periodo 2020 - 2023 se acompaña el 100% de las solicitudes de retornos y reubicaciones que se reciban de las víctimas del conflicto armado.</t>
  </si>
  <si>
    <t>Personas en Procesos de Retorno y Reubicación, apoyadas</t>
  </si>
  <si>
    <t>Familias víctimas restituidas, que reciben medidas de asistencia, atención y reparación en proceso de restitución de tierras</t>
  </si>
  <si>
    <t>En el periodo 2020-2023 se atienden 230.000 personas en el Centro Regional de Atención a Víctimas - CRAV.</t>
  </si>
  <si>
    <t>Personas que reciben orientación y atención integral a través del Centro Regional de Atención a Víctimas</t>
  </si>
  <si>
    <t>En el periodo 2020-2023 se pasa de tener 6 a 12 servicios a la comunidad a través de los Puntos de Información y Orientación (PIO) y las Unidades Móviles.</t>
  </si>
  <si>
    <t>Puntos de Información Orientación (PIO) y Unidades Móviles adecuadas y funcionando</t>
  </si>
  <si>
    <t>En el periodo 2020-2023 se atienden el 100% de las solicitudes de Ayuda Humanitaria Inmediata (AHÍ) de los hogares víctimas del conflicto armado que cumplan los requisitos.</t>
  </si>
  <si>
    <t>Hogares víctimas del conflicto armado que solicitan y reciben ayuda humanitaria con enfoque étnico diferencial, en cumplimiento de los requisitos de ley</t>
  </si>
  <si>
    <t>En el periodo 2020-2023 se completa e integra el Sistema de Información de víctimas de Cali - SIVIC</t>
  </si>
  <si>
    <t>Sistema de información de atención a víctimas del conflicto ampliado e integrado</t>
  </si>
  <si>
    <t>En el periodo 2021-2023 se da respuesta al 100% de las solicitudes de atención y orientación recibidas por canales no presenciales habilitados</t>
  </si>
  <si>
    <t>Porcentaje de atención de solicitudes recibidas por canales no presenciales habilitados para servicios de atención y orientación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</si>
  <si>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</si>
  <si>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</si>
  <si>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En el periodo 2020 - 2023, 3.480 Estudiantes víctimas del conflicto armado interno se encuentran matriculados en las Instituciones Educativas Oficiales con estrategias para la permanencia escolar</t>
  </si>
  <si>
    <t>Estudiantes víctimas del conflicto armado interno matriculados en las Instituciones Educativas Oficiales con estrategias para la permanencia escolar</t>
  </si>
  <si>
    <t>En el periodo 2021-2023 se brinda asistencia psicojurídica a 1000 personas  para que conozcan sus derechos a la verdad, justicia, reparación y no repetición.</t>
  </si>
  <si>
    <t>Personas víctimas del conflicto armado que reciben asistencia psico jurídica especializada frente al goce efectivo de sus derechos a la verdad, la justicia, la reparación y la no repetición</t>
  </si>
  <si>
    <t>En el periodo 2021-2023 se benefician 4.860 víctimas del conflicto armado a través de la estrategia “Reparar para Reconciliar”.</t>
  </si>
  <si>
    <t>Personas víctimas del conflicto armado que se benefician de la estrategia "Reparar para Reconciliar" con enfoque diferencial</t>
  </si>
  <si>
    <t>En el  2021 reciben  apoyo técnico para su participación ante las entidades del SIV 50 organizaciones de víctimas del conflicto armado.</t>
  </si>
  <si>
    <t>Organizaciones que reciben apoyo para su participación e incidencia ante las entidades del Sistema Integral de Verdad, Justicia Reparación y No Repetición</t>
  </si>
  <si>
    <t>En el período 2020-2023 se Protegen  500 víctimas, en la ruta de riesgo de amenaza de violencia (RIAV).</t>
  </si>
  <si>
    <t>Víctimas protegidas en la ruta de riesgo de amenaza de violencia (RIAV)</t>
  </si>
  <si>
    <t>En el período 2020-2023 se promueve  la vinculación de 1.005 personas víctimas del conflicto armado,  a procesos artísticos y culturales</t>
  </si>
  <si>
    <t>Personas víctimas del conflicto armado, vinculadas a procesos artísticos y culturales</t>
  </si>
  <si>
    <t>En el periodo 2021-2023 se capacitan 10.000 víctimas del conflicto armado en los mecanismos disponibles para acceder a la restitución de sus derechos.</t>
  </si>
  <si>
    <t>Personas víctimas del conflicto armado capacitados en mecanismos de reparación y restitución de derechos</t>
  </si>
  <si>
    <t>En el periodo 2020-2023 se realiza un plan de funcionamiento para la Mesa Municipal de Participación Efectiva de Victimas.</t>
  </si>
  <si>
    <t>Planes de Funcionamiento de la Mesa Distrital de Participación Efectiva de Víctimas aprobado y ejecutado</t>
  </si>
  <si>
    <t>En el periodo 2020-2023 se realizan cuatro (4) eventos conmemorativos como medidas de satisfacción para las víctimas del conflicto armado.</t>
  </si>
  <si>
    <t>Eventos conmemorativos para las víctimas como medidas de satisfacción</t>
  </si>
  <si>
    <t>En el periodo 2021-2023 se realizan 12 encuentros regionales de prevención y articulación de acciones para el alistamiento de los municipios receptores de desplazamiento.</t>
  </si>
  <si>
    <t>Encuentros regionales de prevención y articulación de las acciones para mitigación de efectos de desplazamiento y alistamiento de los municipios receptores</t>
  </si>
  <si>
    <t>En el periodo 2020-2023 se construye, implementa y ejecuta un plan de acción integral para la atención de migrantes y flujos migratorios mixtos.</t>
  </si>
  <si>
    <t>Plan de acción de atención a migrantes y flujos migratorios mixtos formulado e implementado</t>
  </si>
  <si>
    <t>En el periodo 2020- 2023 se asignan 350 subsidios distritales a hogares en situación de desplazamiento forzoso y/o población victima del conflicto</t>
  </si>
  <si>
    <t>Subsidio distrital de vivienda asignados a hogares en situación de desplazamiento forzoso y/o población víctima de conflicto</t>
  </si>
  <si>
    <t>En el periodo 2020 - 2023 se realiza 4 eventos deportivos y recreativos para la reparación de las víctimas del conflicto armado</t>
  </si>
  <si>
    <t>Eventos deportivos y recreativos para la reparación integral de víctimas del conflicto armado, realizados</t>
  </si>
  <si>
    <t>5202
Poblaciones Construyendo Territorio</t>
  </si>
  <si>
    <t>5202001
Cariños, Puro Corazón por la Primera Infancia</t>
  </si>
  <si>
    <t>En el periodo 2021-2023 se crea un Sistema Distrital de Atención Integral a la Primera Infancia.</t>
  </si>
  <si>
    <t>Sistema Distrital de Atención Integral a la Primera Infancia</t>
  </si>
  <si>
    <t>En el período 2020-2023, dieciocho (18) Unidades de Transformación Social – UTS Cariños de atención integral a la primera infancia con mantenimiento.</t>
  </si>
  <si>
    <t>Mantenimiento de las Unidades de Transformación Social - UTS de atención Integral a la Primera Infancia</t>
  </si>
  <si>
    <t xml:space="preserve">En el período 2020-2023 se pasa de 7.519 a  10.161 Niñas, Niños, Mujeres gestantes y Madres lactantes con el Programa Cariños de Atención Integral a la Primera Infancia con perspectivas intercultural y de género y enfoques diferenciales y de derechos. </t>
  </si>
  <si>
    <t>Niñas, Niños, Mujeres gestantes y madres lactantes atendidas con el Programa Cariños para la Atención Integral a la Primera Infancia</t>
  </si>
  <si>
    <t>En el periodo 2020-2023 se articulan intersectorial e interinstitucionalmente diez (10) Organismos en la implementación de las estrategias de Movilización Social por la Primera Infancia en Santiago de Cali.</t>
  </si>
  <si>
    <t>Organismos articulados intersectorial e interinstitucionalmente en la implementación de estrategias de movilización social</t>
  </si>
  <si>
    <t>En el periodo 2020-2023, se realiza seguimiento en un 70% a Niñas, niños y mujeres gestantes de las UTS de Atención Integral a la Primera Infancia en la Ruta Integral de Atenciones – RIA.</t>
  </si>
  <si>
    <t>Niñas, niños y mujeres gestantes de las UTS de Atención Integral a la Primera Infancia con seguimiento en la Ruta Integral de Atenciones – RIA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</si>
  <si>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</si>
  <si>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</si>
  <si>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En el período 2020 - 2023, se benefician 4.000 niñas y niños con experiencias lúdicas para la primera infancia</t>
  </si>
  <si>
    <t>Niñas, niños de primera infancia beneficiados anualmente con experiencias en juego, lúdica y recreación</t>
  </si>
  <si>
    <t>En el período 2021-2023 se benefician 6.000 niños, niñas, mujeres gestantes y madres lactantes con experiencias artísticas y culturales</t>
  </si>
  <si>
    <t>Niños, niñas, mujeres gestantes y madres lactantes beneficiados con experiencias artísticas y culturales</t>
  </si>
  <si>
    <t>En el período 2020-2023 se benefician 8.000 niños, niñas, mujeres gestantes y madres lactantes en procesos de lectura y escritura</t>
  </si>
  <si>
    <t>Niñas y niños, mujeres gestantes y madres lactantes beneficiadas en procesos de lectura, escritura y oralidad</t>
  </si>
  <si>
    <t xml:space="preserve">En el periodo 2020 - 2023, 46 Instituciones Educativas Oficiales con niñas y niños de educación inicial atendidos integralmente </t>
  </si>
  <si>
    <t>IEO con Niñas y niños de educación inicial atendidos integralmente</t>
  </si>
  <si>
    <t xml:space="preserve">En el periodo 2020-2023, Se construye la infraestructura  fisica  de un (1) centro de atención a la primera infancia. </t>
  </si>
  <si>
    <t>Construcción de la infraestructura física para la atención a la primera infancia</t>
  </si>
  <si>
    <t>5202002
Promoción, Prevención y Garantías de los Derechos de los Niños, Niñas, Adolescentes y Familias</t>
  </si>
  <si>
    <t>En el período 2020 - 2023, se benefician 10.000 niñas, niños de infancia, adolescencia y juventud con programas lúdicos y recreativos</t>
  </si>
  <si>
    <t>Niñas, niños de infancia, adolescencia y juventud beneficiados anualmente con experiencias en juego, lúdica y recreación</t>
  </si>
  <si>
    <t>Beneficiarios de estrategias de fomento en educación inicial en el marco de la educación con enfoque de género y diferencial</t>
  </si>
  <si>
    <t>En el periodo 2020- 2023 participan 3.400 personas en estrategias de promoción de sus derechos y prevención de sus vulneraciones</t>
  </si>
  <si>
    <t>Personas participando de estrategias de promoción de los derechos y prevención de sus vulneraciones</t>
  </si>
  <si>
    <t>En el periodo 2020-2023 continuan funcionando 8 hogares de paso para la atención inmediata, provisional e integral de NNA</t>
  </si>
  <si>
    <t>Hogares de paso para la atención inmediata, provisional e integral de NNA con vulneración de derechos, funcionando</t>
  </si>
  <si>
    <t>En el período 2020 - 2023, se benefician 850 adolescentes y jóvenes (incluidas personas con discapacidad) con programas de rendimiento deportivo</t>
  </si>
  <si>
    <t>Adolescentes y jóvenes (incluidas personas con discapacidad) beneficiados anualmente con programa de rendimiento deportivo</t>
  </si>
  <si>
    <t>En el período 2016 - 2019, se realizan 200 eventos recreativos realizados en espacios públicos y parques dirigidos a las familias en comunas y corregimientos</t>
  </si>
  <si>
    <t>Eventos recreativos realizados en parques, espacios públicos y cuadras con actividades recreativas y lúdicas dirigidos a las familias en comunas y corregimientos</t>
  </si>
  <si>
    <t>En el período 2020-2023, se aplican 3.297.948 de dosis de vacuna del Programa Ampliado de Inmunizaciones</t>
  </si>
  <si>
    <t>Dosis de vacuna del programa ampliado de inmunizaciones aplicadas</t>
  </si>
  <si>
    <t>En el período 2020 - 2023, se benefician 40.000 Niñas, Niños y Adolescentes (incluidos niñas, niños y adolescentes con discapacidad) con programas de iniciación, formación y énfasis deportivo en comunas y corregimientos.</t>
  </si>
  <si>
    <t>Niñas, niños, adolescentes, jóvenes y adultos (incluidos con discapacidad) beneficiados anualmente con programas de iniciación y formación deportiva en disciplinas tradicionales y de nuevas tendencias en comunas y corregimientos</t>
  </si>
  <si>
    <t>En el período 2020 - 2023, se realizan 25 juegos deportivos y recreativos del sector educativo para el buen uso del tiempo libre</t>
  </si>
  <si>
    <t>Juegos deportivos y recreativos del sector educativo en comunas y corregimientos, realizados</t>
  </si>
  <si>
    <t>En el periodo 2020 - 2023 se realizan 152 jornadas de ciclovía</t>
  </si>
  <si>
    <t>Jornadas de Ciclovía realizadas</t>
  </si>
  <si>
    <t>5202003
Cali Distrito Joven: Conectados con la Ciudadanía Juvenil</t>
  </si>
  <si>
    <t>En el periodo 2020-2023 se pasa de 2 a 4 espacios juveniles de participación con acompañamiento y apoyo</t>
  </si>
  <si>
    <t>Espacios juveniles de participación con procesos de liderazgo, normativa juvenil y gestión organizacional acompañados, apoyados y formados</t>
  </si>
  <si>
    <t>En el periodo 2021-2023 se apoyan técnicamente 120 organizaciones juveniles con procesos sociales y comunitarios</t>
  </si>
  <si>
    <t>Organizaciones juveniles con procesos sociales y comunitarios apoyadas técnicamente</t>
  </si>
  <si>
    <t>En el periodo 2020-2023 se cuenta con 2 medios virtuales para la información, consulta y atención de jóvenes</t>
  </si>
  <si>
    <t>Medios virtuales para la información, consulta y atención de jóvenes desarrollados e implementados</t>
  </si>
  <si>
    <t>En el período 2020-2023 se intervienen 4000 Jóvenes vinculados a situaciones delictivas</t>
  </si>
  <si>
    <t>Jóvenes vinculados a situaciones delictivas, intervenidos</t>
  </si>
  <si>
    <t>En el periodo 2021-2023 se forman a 240 jovenes para el desarrollo del turismo</t>
  </si>
  <si>
    <t>Jóvenes formados para el desarrollo del turismo, con enfoque de cuidado por la casa común y otros seres sintientes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</si>
  <si>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</si>
  <si>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</si>
  <si>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En el período 2021-2023 se fortalecen 40 organizaciones juveniles culturales y artísticas con programas de creación y promoción del patrimonio cultural</t>
  </si>
  <si>
    <t>Organizaciones juveniles culturales y artísticas fortalecidas con programas de creación artística y promoción del patrimonio cultural</t>
  </si>
  <si>
    <t>En el periodo 2020 - 2023 se vinculan 1000 adolescentes y jóvenes a redes de voluntariado del sector deportivo</t>
  </si>
  <si>
    <t>Adolescentes y jóvenes vinculados a redes de voluntariado del sector deportivo</t>
  </si>
  <si>
    <t>5202004
Personas Mayores Envejeciendo con Bienestar</t>
  </si>
  <si>
    <t>En el periodo 2020- 2023 se realizan 38.000 atenciones a personas mayores con orientación psicosocial, personal, familiar y jurídica en comunas y corregimientos.</t>
  </si>
  <si>
    <t>Atención psicosocial, personal y familiar a la población adulta mayor de comunas y corregimientos</t>
  </si>
  <si>
    <t xml:space="preserve">En el periodo 2020-2023 se atienden 270 personas mayores en modalidad hogar larga estancia y hogar de paso </t>
  </si>
  <si>
    <t>Personas mayores atendidas en modalidad hogar larga estancia y hogar de paso</t>
  </si>
  <si>
    <t>En el periodo 2020-2023 se realizan 1.425 atenciones a personas mayores en la modalidad Centros Vida</t>
  </si>
  <si>
    <t>Personas mayores en modalidad Centros Vida atendidas</t>
  </si>
  <si>
    <t>En el periodo 2020-2023 participan de encuentros intergeneracionales 1.060 personas mayores, niños, niñas y adolecentes</t>
  </si>
  <si>
    <t>Personas Mayores, niños niñas y adolescentes participantes de encuentros intergeneracionales</t>
  </si>
  <si>
    <t>En el periodo 2020- 2023 se forman 800 cuidadores de personas mayores en cuidados, manejo, proyectos de vida y derechos</t>
  </si>
  <si>
    <t>Cuidadores de personas mayores, formadas en cuidados, manejo, proyectos de vida y derechos</t>
  </si>
  <si>
    <t>En el período 2020-2023 sepromueven 9 espacios de intercambio intergeneracional para aprovechar la experiencia y vivencia de las personas mayores</t>
  </si>
  <si>
    <t>Espacios de intercambio intergeneracional promovidos para aprovechar la experiencia y vivencia de las personas mayores</t>
  </si>
  <si>
    <t>En el período 2020 - 2023, se benefician 29500 adultos mayores con estrategias en pro del envejecimiento funcional saludable y activo</t>
  </si>
  <si>
    <t>Adultos mayores beneficiados con estrategias en pro del envejecimiento funcional saludable y activo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</si>
  <si>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</si>
  <si>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</si>
  <si>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En el 2023 se adecua un (1) Centros Vida para las personas mayores.</t>
  </si>
  <si>
    <t>Centros Vida para personas mayores adecuados</t>
  </si>
  <si>
    <t>En 2021 se gestiona una estrategia de complemento de seguridad social para personas mayores de estrato 2 y 3</t>
  </si>
  <si>
    <t>Estrategia de complemento de seguridad social para personas mayores de estrato 2 y 3 gestionada</t>
  </si>
  <si>
    <t>5202005
Desarrollando Capacidades, Promoviendo Oportunidades a Población en Situación de Discapacidad</t>
  </si>
  <si>
    <t xml:space="preserve"> En el periodo 2021-2023 aumenta de 8.795 a 15.000 las personas con discapacidad, sus familias y cuidadores en abordaje de la discapacidad, derechos, redes de apoyo, incidencia, organización, desarrollo de habilidades para la vida y el trabajo</t>
  </si>
  <si>
    <t>Personas con discapacidad, sus familias y cuidadores atendidos en abordaje de la discapacidad, derechos, redes de apoyo, incidencia, organización, desarrollo de habilidades para la vida y el trabajo</t>
  </si>
  <si>
    <t>En el periodo 2020-2023 se pasa de suministrar 6.517 a 10.517 productos de apoyos para la movilidad y el desplazamiento de personas con discapacidad.</t>
  </si>
  <si>
    <t>Productos de apoyo para la movilidad y desplazamiento de las Personas con discapacidad, entregados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</si>
  <si>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</si>
  <si>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</si>
  <si>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En el período 2020 - 2023, se benefician 1900 Niñas, niños, adolescentes, jóvenes, adultos y adultos mayores con discapacidad y sus cuidadores</t>
  </si>
  <si>
    <t>Niñas, niños, adolescentes, jóvenes, adultos y adultos mayores con discapacidad y sus cuidadores vinculados anualmente en procesos deportivos de formación</t>
  </si>
  <si>
    <t>En el período 2020-2023 se benefician 7.000 personas con discapacidad con actividades artísticas y culturales</t>
  </si>
  <si>
    <t>Personas con discapacidad beneficiadas con actividades artísticas y culturales</t>
  </si>
  <si>
    <t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t>
  </si>
  <si>
    <t>Estudiantes con discapacidad y capacidades o talentos excepcionales vinculados a educación inclusiva forma, educación para el trabajo y el desarrollo humano y educación adecuada para la integración</t>
  </si>
  <si>
    <t xml:space="preserve">En el periodo 2021 - 2023, se realizan 3 juegos para distritales  </t>
  </si>
  <si>
    <t>Juegos para distritales realizados</t>
  </si>
  <si>
    <t>5202006
CaliAfro</t>
  </si>
  <si>
    <t xml:space="preserve">En el periodo 2020-2023, Se fortalecen la comunidad educativa  en 160 sedes de las  Instituciones Educativas Oficiales en procesos educativos afrodescendientes </t>
  </si>
  <si>
    <t>Comunidad educativa de las Sedes Educativas Oficiales fortalecidas con procesos etnoeducativos afrodescendientes implementados</t>
  </si>
  <si>
    <t>En el 2023 se cuenta con 1 Casa de integración “Caliafro” Adquirida y Funcionando</t>
  </si>
  <si>
    <t>Casa del pacífico para la vida de la población afro, adquirida, dotada y operando</t>
  </si>
  <si>
    <t>En el periodo 2021-2023 se formulan dos (2) planes estratégicos para Consejos Comunitarios, Organizaciones de base Afro, Colonias Afrocolombianas.</t>
  </si>
  <si>
    <t>Planes estratégicos para Consejos Comunitarios, Organizaciones de Base Afro y Colonias Afrocolombianas, diseñado e implementado</t>
  </si>
  <si>
    <t>En el periodo 2020-2023, se diseñan e implementan cuatro (4) estrategias para transversalizar los enfoques étnicos raciales diferencial y poblacional en contextos políticos sociales y culturales.</t>
  </si>
  <si>
    <t>Estrategias para transversalizar los enfoques étnico, racial, diferencial y poblacional en contextos políticos sociales y culturales, diseñadas e implementadas</t>
  </si>
  <si>
    <t>En el periodo 2020-2023, se implementan dos (2) los Planes de Etnodesarrollo para los Consejos Comunitarios</t>
  </si>
  <si>
    <t>Implementación de los Planes de Etnodesarrollo para los Consejos Comunitarios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</si>
  <si>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</si>
  <si>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</si>
  <si>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En el período 2021-2023 se promueven 5 expresiones tradicionales de la población afrodescendiente</t>
  </si>
  <si>
    <t>Expresiones tradicionales de la población afrodescendiente promovidas</t>
  </si>
  <si>
    <t>En el período 2020-2023 se apoyan 20 organizaciones, grupos e instituciones culturales que promueven valores identitarios afrodescendientes</t>
  </si>
  <si>
    <t>Organizaciones, grupos e instituciones culturales que promueven valores identitarios afrodescendientes apoyadas</t>
  </si>
  <si>
    <t>5202007
Tejiendo Identidad, para el Buen Vivir de la Población y Comunidades Indígenas</t>
  </si>
  <si>
    <t>Personas de las comunidades indígenas que reciben atención y orientación social, de acuerdo a su cosmovisión, usos y costumbres</t>
  </si>
  <si>
    <t>En el período 2021 – 2023 se realizan tres (3) estrategias de investigación para la población indígena en Santiago de Cali en contextos educativos, sociales y laborales.</t>
  </si>
  <si>
    <t>Estrategias de Investigación para la población indígena en Santiago de Cali en contextos educativos, sociales y laborales</t>
  </si>
  <si>
    <t>En el período 2021 – 2023 se formulan tres (3) campañas educativas para el reconocimiento y la no discriminación de los pueblos indígenas.</t>
  </si>
  <si>
    <t>Campañas para el reconocimiento y la no discriminación de los pueblos indígenas formuladas e implementadas</t>
  </si>
  <si>
    <t>En el período 2020 – 2023, se implementan en seis (6) Cabildos Indigenas sus planes de vida – Eje de Gobierno Propio.</t>
  </si>
  <si>
    <t>Cabildos Indígenas que implementan sus planes de vida - Eje de gobierno propio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</si>
  <si>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</si>
  <si>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</si>
  <si>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>En el periodo 2020-2023, Se fortalecen 3 sedes Educativas Oficiales con estrategias de permanencia de la población indígena</t>
  </si>
  <si>
    <t>Sedes educativas oficiales con estrategias de permanencia para población indígenas</t>
  </si>
  <si>
    <t>En el período 2020-2023 se apoyan 8 pueblos indígenas organizados, en la recuperación de sus prácticas culturales ancestrales</t>
  </si>
  <si>
    <t>Pueblos indígenas organizados, apoyados en la recuperación de sus prácticas culturales ancestrales</t>
  </si>
  <si>
    <t>En el 2023 se implementara un espacio multipropósito para integración de comunidades indigenas.</t>
  </si>
  <si>
    <t>Espacios multipropósito para la integración de las comunidades indígenas implementados</t>
  </si>
  <si>
    <t>5202008
Calidiversidad</t>
  </si>
  <si>
    <t>En el periodo 2020-2023 se pasa de 1.000 a 3.000 personas atendidas psicosocial y jurídica con enfoque diferencial a 3.000 personas LGBTIQ+.</t>
  </si>
  <si>
    <t>Población LGBTIQ+ con atención psicosocial y jurídica por la violación de derechos, con un enfoque diferencial de diversidad sexual y de géneros</t>
  </si>
  <si>
    <t>En el periodo 2020-2023 se sensibilizan 30 instituciones públicas y privadas en enfoques de derechos, diversidad sexual y política pública CALIDIVERSIDAD.</t>
  </si>
  <si>
    <t>Instituciones Públicas y Privadas sensibilizadas en el enfoque de derechos, diversidad sexual y de géneros y Política Pública CaliDiversidad</t>
  </si>
  <si>
    <t>En el período 2020-2023 se implementan cuatro (4) estrategias para el fortalecimiento del proyecto de vida a través del desarollo de habilidades, capacidades e iniciativas de la población LGBTIQ+.</t>
  </si>
  <si>
    <t>Estrategias para el fortalecimiento del proyecto de vida a través del desarrollo de habilidades, capacidades e iniciativas de la población LGBTIQ+, implementadas</t>
  </si>
  <si>
    <t>En el periodo 2021-2023 se gestiona un (1) hogar de acogida transitoria, para población LGBTIQ+ en situación de vulnerabilidad.</t>
  </si>
  <si>
    <t>Hogar de acogida para la atención integral y protección a vulneración de derechos fundamentales de la población LGBTIQ+, funcionando</t>
  </si>
  <si>
    <t>5202009
Equidad Social</t>
  </si>
  <si>
    <t xml:space="preserve">En el periodo 2020-2023  se pasa de 80% a 90% de vinculación a familias potenciales del programa mas familias en acción </t>
  </si>
  <si>
    <t>Familias Inscritas en el Programa Más Familias en Acción vinculados a los beneficios del programa</t>
  </si>
  <si>
    <t>En el periodo 2020-2023  se pasa de 80% a 90% de vinculaicón a  los jóvenes potenciales del programa Jóvenes en Acción</t>
  </si>
  <si>
    <t>Jóvenes inscritos en el Programa Jóvenes en Acción vinculados a los beneficios del programa</t>
  </si>
  <si>
    <t>En el periodo 2020-2023 se pasa del 26% al 100%  de acceso a la oferta de servicios a hogares inscritos hacia la oferta del Municipio en la estrategia Red Unidos</t>
  </si>
  <si>
    <t>Hogares insertados en la estrategia “Red Unidos” orientados para el acceso a la oferta de servicios del Distrito</t>
  </si>
  <si>
    <t>En el periodo 2020 - 2023 se benefician con programa recreativo a 14704 personas en riesgo social con enfoque diferencial, étnico y de género</t>
  </si>
  <si>
    <t>Personas beneficiadas con programa recreativo dirigido a personas en riesgo social con enfoque diferencial, étnico y de género</t>
  </si>
  <si>
    <t>En el periodo 2020 - 2023, se benefician 423 unidades sociales en lo económico, de acompañamiento, formación y cuidado; como  parte de los planes de gestión social de los proyectos de renovación urbana.</t>
  </si>
  <si>
    <t>Unidades Sociales Beneficiadas de los planes de gestión social derivados del proyecto de renovación urbana ciudad paraíso</t>
  </si>
  <si>
    <t>5202010
Prevención y Abordaje Integral del Fenómeno de Habitabilidad en Calle</t>
  </si>
  <si>
    <t>En el periodo 2020-2023 se pasa de atender 2.180 a 3.000 habitantes de y en calle anualmente en el territorio y en los centros de atención, desde un enfoque de derechos para la dignificación de la vida en calle.</t>
  </si>
  <si>
    <t>Habitantes de y en calle atendidos anualmente en el territorio y en los centros de atención, desde un enfoque de derechos para la dignificación de la vida en calle</t>
  </si>
  <si>
    <t>En el periodo 2022-2023 se diseña e implementa el 100% de la estrategia de prevención integral del fenómeno de habitabilidad en calle.</t>
  </si>
  <si>
    <t>Estrategia de prevención integral del fenómeno de habitabilidad en calle, diseñada e implementada</t>
  </si>
  <si>
    <t>En el periodo 2021-2023 se implementa el 100% del Centro de Servicios integrales para habitantes de y en calle, y personas en riesgo de habitar la calle.</t>
  </si>
  <si>
    <t>Centro de servicios integrales para habitantes de y en calle, y personas en riesgo de habitar la calle funcionando</t>
  </si>
  <si>
    <t>En el periodo 2022-2023 se diseña e implementa una (1) estrategia de atención integral a las poblaciones en alta vulnerabilidad social y en riesgo de habitar la calle, ubicadas en las áreas de renovación urbana</t>
  </si>
  <si>
    <t>Estrategia de atención integral a las poblaciones en alta vulnerabilidad social y en riesgo de habitar la calle, ubicadas en las áreas de renovación urbana, diseñada e implementada</t>
  </si>
  <si>
    <t>En el periodo 2021-2023 acceden 200 personas habitantes de y en calle a servicios socio - sanitarios anualmente, en modalidad de larga estancia, desde un enfoque diferencial y de derechos.</t>
  </si>
  <si>
    <t>Personas habitantes de y en calle que acceden a servicios socio - sanitarios anualmente, en modalidad de larga estancia, desde un enfoque diferencial y de derechos</t>
  </si>
  <si>
    <t>En el periodo 2022-2023 se diseña e implementa el 100 % de un estudio de viabilidad de un programa de acceso a soluciones de vivienda por medio de estrategias innovadoras, flexibles e integrales para la población en situación de calle y en riesgo de habitar la calle de la ciudad, y las poblaciones en alta vulnerabilidad social ubicadas en las zonas de renovación urbana.</t>
  </si>
  <si>
    <t>Estudio de viabilidad de un programa de acceso a soluciones de vivienda por medio de estrategias innovadores, flexibles e integrales para la población en situación de calle y en riesgo de habitar la calle de la ciudad, y población en alta vulnerabilidad social ubicada en zonas de renovación urbana, realizado y socializado</t>
  </si>
  <si>
    <t>5202011
Todas las Mujeres Todos los Derechos</t>
  </si>
  <si>
    <t xml:space="preserve">En el 2021 se pasa de 1 a 2 espacios de Casa Matria, adecuada, equipada y en operación en la zona oriente de la ciudad. </t>
  </si>
  <si>
    <t>Casa Matria al servicio de las mujeres operando</t>
  </si>
  <si>
    <t xml:space="preserve">En el periodo 2020-2023 se pasa de 8.000 a 14.000 personas a la estrategia de prevención de violencias basadas en género por medio de sensibilización, formación, profundización para la accion y acompañamiento a redes para la prevención.
</t>
  </si>
  <si>
    <t>Personas vinculadas a la estrategia de prevención de violencias contra la mujer e intervención social desde la perspectiva de género</t>
  </si>
  <si>
    <t>En el periodo 2020-2023 se atienden al 100% de los requerimientos de las mujeres víctimas de violencia basadas en género modalidad dia.</t>
  </si>
  <si>
    <t>Mujeres víctimas de violencias basadas en género y su núcleo familiar con atención y orientación desde el enfoque de género y diferencial</t>
  </si>
  <si>
    <t>En el periodo 2020-2023 participan 10000 mujeres en estrategia de prevención de las violencias basadas en género y feminicidios</t>
  </si>
  <si>
    <t>Mujeres participando en estrategia de prevención de las violencias basadas en género y feminicidios</t>
  </si>
  <si>
    <t>En el período 2021-2023 se realiza tres (3) investigaciones sobre género y de violencia contra las mujeres en contextos educativos, sociales y laborales.</t>
  </si>
  <si>
    <t>Estrategias de investigación sobre género y prevención de violencias contra las mujeres en contextos educativos, sociales y laborales diseñados e implementados</t>
  </si>
  <si>
    <t>En el periodo 2021-2023 se diseña e implementa un sistema distrital del cuidado.</t>
  </si>
  <si>
    <t>Sistema Distrital del Cuidado, diseñado y en proceso de implementación</t>
  </si>
  <si>
    <t>5203
Territorios para la Vida</t>
  </si>
  <si>
    <t>5203001
Salud Pública Integral, Una Realidad en los Entornos de Vida Cotidianos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</si>
  <si>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</si>
  <si>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</si>
  <si>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>Empresas y grupos de trabajo informal de los sectores económicos de Santiago de Cali monitoreados y vigilados frente al cumplimiento de condiciones de seguridad y salud en el trabajo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</si>
  <si>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</si>
  <si>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</si>
  <si>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 xml:space="preserve">
A diciembre de 2023, se implementa al 100% el Modelo Integral de Salud Sexual y Reproductiva.</t>
  </si>
  <si>
    <t>Modelo integral de salud sexual y reproductiva, implementado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</si>
  <si>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</si>
  <si>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</si>
  <si>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</si>
  <si>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</si>
  <si>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</si>
  <si>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</si>
  <si>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</si>
  <si>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</si>
  <si>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</si>
  <si>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</si>
  <si>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</si>
  <si>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</si>
  <si>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</si>
  <si>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</si>
  <si>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</si>
  <si>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</si>
  <si>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</si>
  <si>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</si>
  <si>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</si>
  <si>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</si>
  <si>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>Entidades de salud con atención integral de VIH-SIDA-Hepatitis B y C y enfoque diferencial y de género, en la prestación de servicios de salud implementada</t>
  </si>
  <si>
    <t>En 2021, se adopta la politica pública de salud mental.</t>
  </si>
  <si>
    <t>Política pública de salud mental adoptada</t>
  </si>
  <si>
    <t>Ruta de promoción y mantenimiento de la salud en el entorno educativo implementado</t>
  </si>
  <si>
    <t>5203002
Servicios de Salud de Calidad en Redes Integrales, Un Desafío para Todos</t>
  </si>
  <si>
    <t>A diciembre de 2023, se logra la afiliación en salud del 80% de las personas identificadas sin seguridad social</t>
  </si>
  <si>
    <t>Personas identificadas sin seguridad social, afiliadas en salud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</si>
  <si>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</si>
  <si>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</si>
  <si>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En el período 2021-2023, se atiende  en salud al 70% de la población migrante</t>
  </si>
  <si>
    <t>Población migrante atendida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</si>
  <si>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</si>
  <si>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</si>
  <si>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En el período 2020-2023, se aumenta al 60% los usuarios con restitución de derechos en salud por la Autoridad Sanitaria</t>
  </si>
  <si>
    <t>Usuarios con restitución de derechos en salud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</si>
  <si>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</si>
  <si>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</si>
  <si>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5203003
Salud Ambiental Territorial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</si>
  <si>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</si>
  <si>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</si>
  <si>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 xml:space="preserve"> 
A diciembre de 2023, se implementa el 90% de la Estrategia de Gestión Integral - EGI de ETV</t>
  </si>
  <si>
    <t>Estrategia de Gestión Integral - EGI de ETV implementada</t>
  </si>
  <si>
    <t>A diciembre de 2023, se implementa al 88%  la Estrategia de Gestión Integrada - EGI de Zoonosis</t>
  </si>
  <si>
    <t>Estrategia de Gestión Integrada - EGI de Zoonosis implementada</t>
  </si>
  <si>
    <t xml:space="preserve">En 2012- 2022, se adecua el Centro de Prevención de Zoonosis </t>
  </si>
  <si>
    <t>Centro de Prevención de Zoonosis adecuado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</si>
  <si>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</si>
  <si>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</si>
  <si>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>En el periodo 2020 - 2021, se cuenta con 100 empresas priorizadas con manejo eficiente de Residuos Peligrosos (RESPEL)</t>
  </si>
  <si>
    <t>Empresas priorizadas con manejo eficiente de Residuos Peligrosos (RESPEL)</t>
  </si>
  <si>
    <t>5203004
Seguridad y Soberanía Alimentaria</t>
  </si>
  <si>
    <t xml:space="preserve">En el 2021 se formula el diagnóstico sobre la soberanía y seguridad alimentaria y nutricional de Santiago de Cali, teniendo presente el marco de ciudad región. </t>
  </si>
  <si>
    <t>Diagnóstico sobre el estado de la soberanía, seguridad alimentaria y nutricional del Distrito de Cali y su área de influencia como ciudad región, formulado</t>
  </si>
  <si>
    <t>En el 2020-2023 se atienden diariamente en comedores comunitarios 38.000 personas en condición de vulnerabilidad.</t>
  </si>
  <si>
    <t>Población atendida diariamente en comedores comunitarios y otros modelos de asistencia alimentaria con enfoque de corresponsabilidad</t>
  </si>
  <si>
    <t>En el periodo 2020 - 2023 se pasa de 99.900 a 840.000 raciones alimentarias para la recuperacion nutricional de niños en estado de desnutricion critica priorizados por la SSPM.</t>
  </si>
  <si>
    <t>Raciones entregadas a niños y niñas atendidos en recuperación nutricional</t>
  </si>
  <si>
    <t>En el periodo 2021-2023 se capacitan 450 líderes de los comedores comunitarios para la conformación de unidades Productivas Autosostenibles</t>
  </si>
  <si>
    <t>Líderes de los comedores comunitarios capacitados para la conformación de unidades Productivas Autosostenibles</t>
  </si>
  <si>
    <t>En el periodo 2022 - 2023 se formula e implementa el Plan Estratégico de Soberanía y Seguridad Alimentaria para la ciudad - región, alineado con la Política Pública de Soberanía y Seguridad Alimentaria y Nutricional de Santiago de Cali (Acuerdo 0470 de 2019).</t>
  </si>
  <si>
    <t>Plan Estratégico de soberanía, seguridad alimentaria y nutricional del Distrito de Cali y su área de influencia como ciudad región, diseñado e implementado</t>
  </si>
  <si>
    <t>5203005
Dignificando la Vivienda</t>
  </si>
  <si>
    <t>En el período 2020-2023 se generan 6250 soluciones habitacionales VIP VIS</t>
  </si>
  <si>
    <t>Soluciones habitacionales VIP y VIS generadas</t>
  </si>
  <si>
    <t>En el periodo 2021-2023 se gestionan 40 hectareas para construcción de vivienda VIS y VIP</t>
  </si>
  <si>
    <t>Suelo gestionado para construcción de vivienda VIS y VIP</t>
  </si>
  <si>
    <t>En el periodo 2020-2023 se asignan 215 subsidios distritales de vivienda  a hogares en situación de desmovilizados</t>
  </si>
  <si>
    <t>Subsidio distrital de vivienda asignados a hogares en situación de desmovilizados</t>
  </si>
  <si>
    <t>En el periodo 2020 - 2023, se mejoran 3625 viviendas en zona urbana y/o rural</t>
  </si>
  <si>
    <t>Viviendas mejoradas en zona urbana y/o rural</t>
  </si>
  <si>
    <t>En el periodo 2020 - 2023, se construyen 264.715 m2 en Ciudad Paraiso y/o en otros proyectos de renovacon urbana.</t>
  </si>
  <si>
    <t>Metros cuadrados construidos en Ciudad Paraíso y/o en otros proyectos de renovación urbana</t>
  </si>
  <si>
    <t>En el periodo 2021-2023 se ajusta y adopta el Plan Maestro de Vivienda</t>
  </si>
  <si>
    <t>Plan maestro de vivienda ajustado y adoptado</t>
  </si>
  <si>
    <t>En el periodo 2020 - 2023, se habilitan 103.075 m2 de suelo en Ciudad Paraiso y/o en otros proyectos de renovacon urbana.</t>
  </si>
  <si>
    <t>Habilitación de suelo en Ciudad Paraíso y/o en otros proyectos de renovación urbana</t>
  </si>
  <si>
    <t>En el periodo 2020 - 2023, se formulan y adoptan  3 planes de renovación urbana.</t>
  </si>
  <si>
    <t>Proyectos de renovación urbana o redensificación formulados</t>
  </si>
  <si>
    <t>Planes parciales de renovación urbana formulados</t>
  </si>
  <si>
    <t>A diciembre de 2023  se realiza el estudio sobre tierras ejidales y lotes del distrito</t>
  </si>
  <si>
    <t>Estudio de tierras ejidales y lotes del distrito realizado</t>
  </si>
  <si>
    <t>5203006
Mejoramiento Integral del Hábitat</t>
  </si>
  <si>
    <t>Viabilizar entre el 2021-2023 once (11) proyectos ante el Ministerio de Vivienda, Ciudad y Territorio</t>
  </si>
  <si>
    <t>Proyectos para la prestación de los servicios de acueducto y alcantarillado, ante MINVIVIENDA</t>
  </si>
  <si>
    <t>En el periodo 2020 - 2023, se titulan 2.750 predios</t>
  </si>
  <si>
    <t>Predios titulados</t>
  </si>
  <si>
    <t>En el periodo 2020 - 2023, se intervendrán 25 asentamientos humanos de desarrollo incompleto y/o precarios</t>
  </si>
  <si>
    <t>Asentamientos humanos de desarrollo incompleto y/o precarios intervenidos</t>
  </si>
  <si>
    <t>A diciembre de 2023 se presenta el proyecto de acuerdo de titulación de predios en zona rural</t>
  </si>
  <si>
    <t>Proyecto de acuerdo de titulación de predios en zona rural presentado</t>
  </si>
  <si>
    <t>A diciembre de 2023 se presenta el proyecto de acuerdo para cesiones gratuitas o enajenación de predios fiscales</t>
  </si>
  <si>
    <t>Proyecto de acuerdo para cesiones gratuitas o enajenación de predios fiscales presentado</t>
  </si>
  <si>
    <t>5203007
Espacio Público para la Integración SocioEcológica</t>
  </si>
  <si>
    <t>En el 2023, Se adecua ambiental y paisajísticamente 12 hectáreas de la estructura ecológica distrital del Parque de la Vida</t>
  </si>
  <si>
    <t>Parque de la Vida incluido en la estructura ecológica distrital y adecuado ambiental y paisajísticamente</t>
  </si>
  <si>
    <t xml:space="preserve">En el periodo 2020 - 2023, se adecuan arquitectónica y paisajísticamente, con empoderamiento ciudadano, 387 espacios públicos efectivos adecuados </t>
  </si>
  <si>
    <t>Espacios públicos efectivos adecuados arquitectónica y paisajísticamente con empoderamiento ciudadano</t>
  </si>
  <si>
    <t>En diciembre de 2023 se  construye 1 plazoleta para la integración social.</t>
  </si>
  <si>
    <t>Plazoleta para la integración social construida</t>
  </si>
  <si>
    <t>En el período 2021-2023 se promueven 134 espacios públicos con programación cultural</t>
  </si>
  <si>
    <t>Espacios públicos promovidos con programación cultural</t>
  </si>
  <si>
    <t>En el período 2020 -2021 se realiza la caracterizacion de los vendedores informales que ocupan el espacio público en Santiago de Cali</t>
  </si>
  <si>
    <t>Caracterización de vendedores informales que ocupan el espacio público</t>
  </si>
  <si>
    <t>En el período 2020-2023 se organizan en el espacio público 5000 vendedores informales en Santiago de Cali</t>
  </si>
  <si>
    <t>Vendedores informales organizados en el espacio público por actividad económica</t>
  </si>
  <si>
    <t>En el periodo 2020 - 2023 se controlan 18 Corredores viales principales con saturación visual de publicidad exterior visual ilegal</t>
  </si>
  <si>
    <t>Corredores viales principales con control a la saturación visual de publicidad exterior visual ilegal</t>
  </si>
  <si>
    <t>A diciembre de 2023 se diseñan 160 intervenciones de espacio publico en Santiago de Cali</t>
  </si>
  <si>
    <t>Intervenciones de espacio público diseñadas</t>
  </si>
  <si>
    <t>A diciembre de 2023 se  adecuan 54706 m2 de vias y andenes con inclusion social</t>
  </si>
  <si>
    <t>Vías y andenes adecuados con inclusión social</t>
  </si>
  <si>
    <t>A diciembre de 2021 se ajusta y adopta el Plan Maestro de Espacio Público</t>
  </si>
  <si>
    <t>Plan Maestro de Espacio Público - PMEP ajustado y adoptado</t>
  </si>
  <si>
    <t>Durante el periodo de 2020-2023 se elaboran 09 documentos técnicos de factibilidad para la construcción de Corredor Verde.</t>
  </si>
  <si>
    <t>Estudios Técnicos para la construcción del proyecto Corredor Verde elaborados</t>
  </si>
  <si>
    <t>En el periodo 2021-2023 se elaborara y mantiene el invetario de la publicidad visual exterior</t>
  </si>
  <si>
    <t>Inventario de publicidad exterior visual actualizado y mantenido</t>
  </si>
  <si>
    <t>5203008
Equipamientos para el Desarrollo y el Bienestar</t>
  </si>
  <si>
    <t>En el 2022 se realiza nuevo equipamento de un Centro Local Integrado.</t>
  </si>
  <si>
    <t>Nuevo equipamiento comunitario (Centro de atención al ciudadano) operando</t>
  </si>
  <si>
    <t>.En el período 2020-2023, se realiza 39 mantenimientos a sedes comunales o casetas comunales y/o demás infraestructura física designada</t>
  </si>
  <si>
    <t>Intervenciones (mantenimiento correctivo y preventivo) realizadas a sedes comunales, salones comunales, Casetas Comunales</t>
  </si>
  <si>
    <t xml:space="preserve"> En el período 2020-2023, se realiza 69 intervenciones( mantenimiento correctivo, preventivo y dotación) a Centros de Administración Local Integrada</t>
  </si>
  <si>
    <t>Intervenciones (mantenimiento correctivo, preventivo y dotación) realizadas a Centros de Administración Local Integrada</t>
  </si>
  <si>
    <t>En el período 2020-2023, se aumenta a 74% el índice de capacidad de operación de las Empresas sociales del Estado</t>
  </si>
  <si>
    <t>Índice de capacidad de operación de las Empresas Sociales del Estado aumentado</t>
  </si>
  <si>
    <t>En el periodo 2020 - 2023 se realizan 1000 intervenciones en escenarios con diseño, mantenimiento, construcción o adecuación</t>
  </si>
  <si>
    <t>Intervenciones en escenarios deportivos y recreativos en comunas y corregimientos diseñados, con mantenimiento, construidos o adecuados</t>
  </si>
  <si>
    <t>En la vigencia 2022 se formula el plan  de escenarios deportivos y recreativos</t>
  </si>
  <si>
    <t>Plan de escenarios deportivos y recreativos formulado</t>
  </si>
  <si>
    <t>En el período 2020-2023 se fortalecen 50 equipamientos culturales del Distrito con diseño, mantenimiento, construcción, adecuación, mejoramiento o dotación</t>
  </si>
  <si>
    <t>Equipamientos culturales del Distrito diseñados, con mantenimiento, construidos, adecuados, mejorados o dotación</t>
  </si>
  <si>
    <t xml:space="preserve">En el periodo 2020-2023, Se realiza 112 Intervenciones (Mantenimiento, adecuación de infraestructura) a las sedes educativas oficiales  </t>
  </si>
  <si>
    <t>Intervenciones (Mantenimiento, adecuación de infraestructura) realizadas a sedes educativas</t>
  </si>
  <si>
    <t>En el periodo 2020-2023, 13 sedes de instituciones Educativas oficiales son intervenidas con construccion o Adquisición de nueva infraestructura</t>
  </si>
  <si>
    <t>Construcción y/o adquisición de Infraestructura Física Nueva en Sedes de instituciones Educativas Oficiales de Cali</t>
  </si>
  <si>
    <t>A diciembre de 2021 se ajusta y adopta el Plan Maestro de Equipamientos</t>
  </si>
  <si>
    <t>Plan Maestro de Equipamientos ajustado y adoptado</t>
  </si>
  <si>
    <t xml:space="preserve">En el periodo 2020 - 2023 se adecua el centro de alto rendimiento </t>
  </si>
  <si>
    <t>Centro de alto rendimiento, construido y adecuado</t>
  </si>
  <si>
    <t>A diciembre de 2023 se implementa el equipamiento de servicios urbanos basicos</t>
  </si>
  <si>
    <t>Equipamientos de servicios urbanos básicos implementados</t>
  </si>
  <si>
    <t>5203009
Prestación de Servicios Públicos Domiciliarios</t>
  </si>
  <si>
    <t>En el cuatrienio 2020-2023, Construir y entregar en Funcionamiento, la Infraestructura Eléctrica Media Tensión, en Plan Parcial San Pascual del Plan Maestro Ciudad Paraíso (22,83 Km de Red).</t>
  </si>
  <si>
    <t>Kilómetros de Red de Media Tensión en Plan Parcial San Pascual, construidos</t>
  </si>
  <si>
    <t>En el periodo 2020-2023 se construyen 12 infraestructuras de agua potable en la zona rural</t>
  </si>
  <si>
    <t>Infraestructura de Agua Potable en la zona rural construidas</t>
  </si>
  <si>
    <t>En el periodo 2020-2023 son mejorados en infraestructura 35 sistemas de agua potable en la zona rural</t>
  </si>
  <si>
    <t>Sistemas de Agua Potable en la zona rural mejorados en infraestructura</t>
  </si>
  <si>
    <t>En el periodo 2020-2023 pasar de 440.267 a 462.205 beneficiarios del subsidio del deficit de a las empresas de servicios públicos de acueducto, alcantarillado y aseo de los estratos 1,2 y 3 del fondo de solidaridad y redistribución de ingreso</t>
  </si>
  <si>
    <t>Beneficiarios del subsidio del déficit de a las empresas de servicios públicos de acueducto alcantarillado y aseo de los estratos 1, 2 y 3 del fondo de solidaridad y redistribución de ingreso</t>
  </si>
  <si>
    <t>En el periodo 2020-2023 se benefician 258.885 suscriptores del programa de minimo vital de agua potable</t>
  </si>
  <si>
    <t>Beneficiarios del programa del mínimo vital de agua potable</t>
  </si>
  <si>
    <t>Durante el periodo 2020 - 2021 se formula y adopta el Plan Maestro de Servicios Pulicos Domiliarios y TIC con sus respectivos documentos técnicos</t>
  </si>
  <si>
    <t>Plan Maestro de Servicios Públicos Domiciliarios y TIC formulado y adoptado</t>
  </si>
  <si>
    <t>En el periodo 2020-2023 se realizara la consultoria de formulacion del Plan Maestro de Acueducto y Alcantarillado -PMAA, para el area de operación de EMCALI</t>
  </si>
  <si>
    <t>Plan Maestro de Acueducto y Alcantarillado (PMAA), formulado</t>
  </si>
  <si>
    <t>En el periodo 2020-2023 se realizará la optimización de 20.443 km de red de acueducto</t>
  </si>
  <si>
    <t>Redes de alcantarillado en el área de prestación de servicio de EMCALI intervenidas</t>
  </si>
  <si>
    <t>En el periodo 2020-2023 se realizará la optimización de 20.611 km de red de alcantarillado</t>
  </si>
  <si>
    <t>Redes de acueducto en el área de prestación de servicio de EMCALI intervenidas</t>
  </si>
  <si>
    <t xml:space="preserve">  En el periodo 2020-2023 se realiza monitoreo de calidad del agua inteligente en las Plantas de tratamiento de agua potable de  la zona rural</t>
  </si>
  <si>
    <t>Plantas de tratamiento de agua potable con monitoreo de calidad del agua inteligente operando en la zona rural</t>
  </si>
  <si>
    <t>5203010
Deporte para el Desarrollo Social del Distrito Especial</t>
  </si>
  <si>
    <t>En el periodo 2020 - 2023 se acompañan anualmente 25 territorios con desarrollo deportivo, recreativo y de actividad física</t>
  </si>
  <si>
    <t>Territorios del Distrito de Santiago de Cali con acompañamiento para el desarrollo deportivo, recreativo y de actividad física</t>
  </si>
  <si>
    <t>En el periodo 2021 - 2023 se realizan 3 eventos académicos para el sector deportivo, recreativo y de actividad física</t>
  </si>
  <si>
    <t>Eventos académicos para el sector deporte, recreativo y de actividad física, realizados</t>
  </si>
  <si>
    <t>En la vigencia 2021 se formula y adopta la política pública del deporte y la recreación</t>
  </si>
  <si>
    <t>Política pública del deporte y la recreación formulada y adoptada</t>
  </si>
  <si>
    <t>En el periodo 2021 - 2023 se entregan 150 apoyos para el desarrollo deportivo a territorios del distrito de Santiago de Cali</t>
  </si>
  <si>
    <t>Apoyo al desarrollo deportivo comunitario en territorios del Distrito de Santiago de Cali</t>
  </si>
  <si>
    <t>En el periodo 2021 - 2023 se implementan 3 instancias de participación ciudadana del sector deporte y recreación</t>
  </si>
  <si>
    <t>Instancias de participación ciudadana del sector deporte y recreación en la ciudad, operando anualmente</t>
  </si>
  <si>
    <t>En el periodo 2020 - 2023 se realizan 16 carreras y caminatas deportivas y recreativas con enfoque ambiental</t>
  </si>
  <si>
    <t>Carreras y caminatas deportivas y recreativas con enfoque ambiental realizadas en comunas y corregimientos</t>
  </si>
  <si>
    <t>En el período 2020 - 2023, se benefician 10000 personas con gimnasia dirigida, aeróbicos y acondicionamiento físico</t>
  </si>
  <si>
    <t>Personas beneficiadas anualmente con gimnasia dirigida, aeróbicos y acondicionamiento físico</t>
  </si>
  <si>
    <t xml:space="preserve">En el periodo 2021 - 2023, se realizan 3 juegos inter corregimientos  </t>
  </si>
  <si>
    <t>Juegos Inter corregimientos realizados</t>
  </si>
  <si>
    <t>5204
Distrito Educador</t>
  </si>
  <si>
    <t>5204001
La Escuela me acoge</t>
  </si>
  <si>
    <t>En el periodo 2020-2023, Se benefician a 33.600 estudiantes en condición de vulnerabilidad con dotacionesde paquetes escolares</t>
  </si>
  <si>
    <t>Estudiantes en condición de vulnerabilidad beneficiarios de paquetes escolares</t>
  </si>
  <si>
    <t xml:space="preserve">En el periodo 2020-2023, 224.000 estudiante se encuentran matriculados en el sistema educativo oficial de Santiago de Cali </t>
  </si>
  <si>
    <t>Población en edad escolar matriculada en el sistema educativo oficial de Santiago de Cali</t>
  </si>
  <si>
    <t>En el periodo 2020-2023, Hay 75 sedes educativas oficiales que implementan modelos educativos flexibles</t>
  </si>
  <si>
    <t>Sedes educativas oficiales con implementación de modelos educativos flexibles para niños, adolescentes, jóvenes y adultos en proceso de alfabetización</t>
  </si>
  <si>
    <t>En el periodo 2020-2023, 17.000 estudiantes se han beneficiado con la estrategia de transporte escolar</t>
  </si>
  <si>
    <t>Estudiantes de las IEO con estrategia de transporte escolar</t>
  </si>
  <si>
    <t>En el periodo 2020-2023, 92 Instituciones Educativas Oficiales cuentan con dotación</t>
  </si>
  <si>
    <t>Instituciones educativas oficiales dotadas</t>
  </si>
  <si>
    <t>En el periodo 2020-2023, Se garantiza el complemento alimentario a los  estudiantes matriculados en las Instituciones Educativas Oficiales</t>
  </si>
  <si>
    <t>Estudiantes matriculados en las IEO con complementos alimentarios</t>
  </si>
  <si>
    <t>5204002
La Educación Superior: Potencializando Saberes y Transformando Vidas</t>
  </si>
  <si>
    <t>En el periodo 2021-2023, 30.000 Estudiantes de Instituciones Educativas Oficiales con bajo resultado pruebas saber vinculados al Plan Talentos</t>
  </si>
  <si>
    <t>Estudiantes de Instituciones Educativas Oficiales con bajos resultados en Pruebas Saber 11 vinculados al Plan Talentos</t>
  </si>
  <si>
    <t>En el periodo 2020-2023, son beneficiados 4.500 estudiantes con programas de articulación con Instituciones de Educación Superior, de la formación técnica, Tecnológica, para el trabajo y el desarrollo humano (ETDH)</t>
  </si>
  <si>
    <t>Estudiantes beneficiados con programas de articulación con Instituciones de Educación Superior, de la formación técnica, Tecnológica, para el trabajo y el desarrollo humano (ETDH)</t>
  </si>
  <si>
    <t>En el periodo 2020-2023, Se crea la Universidad distrital de Cali</t>
  </si>
  <si>
    <t>Creación de la Universidad Distrital de Cali</t>
  </si>
  <si>
    <t>5204003
Tejiendo Redes</t>
  </si>
  <si>
    <t>En el periodo 2020-2023, 830 docentes en formación de las instituciones educativas oficiales que generan productos académicos para el mejoramiento de las práctica docente y el aprendizaje.</t>
  </si>
  <si>
    <t>Docentes en procesos de formación organizados en comunidades de aprendizaje o redes para el fortalecimiento de sus experiencias, la investigación y el mejoramiento de la práctica docente y el aprendizaje</t>
  </si>
  <si>
    <t>En el periodo 2020-2023, 92 instituciones educativas oficiales con proyectos pedagógicos transversales fortalecidos</t>
  </si>
  <si>
    <t>Instituciones educativas oficiales que fortalecen los proyectos pedagógicos transversales articulados a procesos dialogantes con la ciudad</t>
  </si>
  <si>
    <t>En el periodo 2020-2023,46 Instituciones educativas oficiales fortalecen sus prácticas pedagógicas en el marco de sus currículos</t>
  </si>
  <si>
    <t>Instituciones educativas que promueven el fortalecimiento de sus prácticas pedagógicas desde un enfoque de ciudad en el marco de sus currículos</t>
  </si>
  <si>
    <t>5204004
Construyendo un Distrito Lector</t>
  </si>
  <si>
    <t>En el período 2020-2023,  se fortalescen  244 instituciones y organizaciones  con promoción de  lectura ,  escritura y oralidad</t>
  </si>
  <si>
    <t>Instituciones y organizaciones con promoción de lectura, escritura y oralidad</t>
  </si>
  <si>
    <t>En el período 2020-2023 se promueve la operación de 64 bibliotecas públicas y espacios adscritos a la Red, con servicios bibliotecarios</t>
  </si>
  <si>
    <t>Bibliotecas públicas y espacios adscritos a la Red, operando con servicios bibliotecarios</t>
  </si>
  <si>
    <t>En el periodo 2020-2023, En 92 Instituciones Educativas Oficiales se fortalecerán sus planes de lectura, escritura y oralidad desde la educación Inicial hasta la media.</t>
  </si>
  <si>
    <t>IEO que fortalecen en el Distrito los planes de lectura, escritura y oralidad desde la educación Inicial hasta la media</t>
  </si>
  <si>
    <t>En el periodo 2020-2023, se vincularán 14 Bibliotecas escolares a la red de lectura</t>
  </si>
  <si>
    <t>Bibliotecas escolares abiertas y articuladas con el sistema de bibliotecas públicas comunitarias vinculadas con procesos formativos y culturales</t>
  </si>
  <si>
    <t>5204005
Gestión de la Educación</t>
  </si>
  <si>
    <t>En el periodo 2020-2023, 92 Instituciones Educativas Ofíciales con un sistema seguimiento y evaluación con enfoque formativo</t>
  </si>
  <si>
    <t>Instituciones Educativas oficiales con seguimiento, y evaluación de la calidad de la educación con enfoque formativo</t>
  </si>
  <si>
    <t>En el periodo 2020-2023, Directivos docentes de la 92 Instituciones educativas fortalecidos en capacidades administrativas y humanas, para el liderazgo pedagógico</t>
  </si>
  <si>
    <t>Instituciones Educativas oficiales que fortalecen sus directivos docentes en capacidades administrativas y humanas, para el liderazgo pedagógico</t>
  </si>
  <si>
    <t>En el periodo 2020-2023, El 31% de Estudiantes de las Instituciones Educativas Oficiales se benefician del programa de Jornada Única.</t>
  </si>
  <si>
    <t>Estudiantes de IEO matriculados en Jornada Única  (Registrados en el SIMAT)</t>
  </si>
  <si>
    <t>En el periodo 2020 -2023, 92 Instituciones educativas oficiales implementan programas para el mejoramiento de las competencias básicas</t>
  </si>
  <si>
    <t>Instituciones educativas que implementan programas, para el mejoramiento de las competencias básicas</t>
  </si>
  <si>
    <t xml:space="preserve">En el periodo 2020-2023, se fortalecen 92 Instituciones educativas oficiales en competencia comunicativa en lengua extranjera- Ingles  </t>
  </si>
  <si>
    <t>IEO fortalecidas en competencias comunicativas en lengua extranjeraInglés</t>
  </si>
  <si>
    <t>En el periodo 2020-2023, se realiza la revisión, ajuste y promulgación de la política pública de bilingüismo</t>
  </si>
  <si>
    <t>Revisión, ajuste y promulgación de la política pública de bilingüismo</t>
  </si>
  <si>
    <t>En el periodo 2021-2023, se formulan los lineamientos para la creación del Observatoriode la Educación.</t>
  </si>
  <si>
    <t>Lineamientos para la creación del observatorio de educación</t>
  </si>
  <si>
    <t>5205
Cali Corazón de las Culturas</t>
  </si>
  <si>
    <t>5205001
Salvaguarda y Protección del Patrimonio Cultural</t>
  </si>
  <si>
    <t>En el período 2020-2023 se identifican, visibilizan y salvaguardan 9 manifestaciones del patrimonio cultural inmaterial</t>
  </si>
  <si>
    <t>Manifestaciones del patrimonio cultural inmaterial identificadas, visibilizadas y salvaguardadas</t>
  </si>
  <si>
    <t>En el período 2020-2023 se protegen y conservan 8 bienes materiales de Interés cultural</t>
  </si>
  <si>
    <t>Bienes materiales de Interés cultural protegidos y conservados</t>
  </si>
  <si>
    <t>En el período 2021-2023 se promueven y apoyan 24 procesos identitarios en comunas y corregimientos</t>
  </si>
  <si>
    <t>Comunas y corregimientos con procesos identitarios promovidos y apoyados</t>
  </si>
  <si>
    <t>En el período 2021-2023 se implementa el plan para la recuperación de la memoria cultural de Santiago de Cali</t>
  </si>
  <si>
    <t>Plan para la recuperación de la memoria cultural, Implementado</t>
  </si>
  <si>
    <t>En el periodo 2020 - 2023 Se realiza mantenimiento anual a 72 elementos que constituyen las Fuentes y Monumentos localizados en Espacio Publico</t>
  </si>
  <si>
    <t>Fuentes y monumentos localizados en espacios públicos con mantenimiento</t>
  </si>
  <si>
    <t>En el período 2020-2023 se actualiza y difunde el inventario de bienes muebles de interés cultural</t>
  </si>
  <si>
    <t>Actualización y difusión del inventario de bienes muebles de interés cultural</t>
  </si>
  <si>
    <t>En el período 2020-2023 se realiza la protección, conservación y divulgación de 3 bienes muebles documentales patrimoniales y de interés cultural</t>
  </si>
  <si>
    <t>Bienes muebles documentales patrimoniales y de interés cultural, protegidos, conservados y divulgados</t>
  </si>
  <si>
    <t>Durante el periodo 2021 - 2022 se elaboran los PEMP San Antonio y Galería Santa Helena</t>
  </si>
  <si>
    <t>Planes Especiales de Manejo y Protección Galería Santa Elena y San Antonio elaborados</t>
  </si>
  <si>
    <t>En el periodo 2020-2023 se conservan 38 fuentes, monumentos y bienes de interés cultural de Santiago de Cali con sistemas de iluminación ornamental</t>
  </si>
  <si>
    <t>Fuentes, monumentos y bienes de interés cultural con sistemas de iluminación ornamental conservadas</t>
  </si>
  <si>
    <t>Durante el periodo 2020 - 2023 Se actualiza y registra en SIPA el 100% del Inventario de bienes de interés cultural material BIC</t>
  </si>
  <si>
    <t>Inventario de bienes de interés cultural, material, BIC actualizado y registrado en el SIPA</t>
  </si>
  <si>
    <t>5205002
Ecosistema Artístico</t>
  </si>
  <si>
    <t>En el período 2020-2023 se promueve la formación de 36.170  personas en prácticas artísticas en comunas y corregimientos</t>
  </si>
  <si>
    <t>Personas formadas en prácticas artísticas en comunas y corregimientos</t>
  </si>
  <si>
    <t>En el período 2020-2023 se apoyan 97 organizaciones e instituciones en el desarrollo de sus iniciativas artísticas y culturales</t>
  </si>
  <si>
    <t>Organizaciones e instituciones apoyadas en el desarrollo de sus iniciativas artísticas y culturales</t>
  </si>
  <si>
    <t>En el período 2020-2023 se apoyan 3 espacios de participación y creación artística, con enfoque diferencial y de genero</t>
  </si>
  <si>
    <t>Espacios de participación y creación artística con enfoque diferencial y de genero apoyados</t>
  </si>
  <si>
    <t>En el período 2020-2023 se benefician 704 actores del sector cultural con estímulos</t>
  </si>
  <si>
    <t>Actores del sector cultural beneficiados con estímulos</t>
  </si>
  <si>
    <t>En el período 2021-2023 se implementan 6 semilleros de investigación artística y cultural</t>
  </si>
  <si>
    <t>Semilleros de investigación artística y cultural implementados</t>
  </si>
  <si>
    <t>En el período 2020-2023 se benefician 400 creadores y gestores culturales con seguridad social en el marco de la ley 666 de 2001 y decretos reglamentarios</t>
  </si>
  <si>
    <t>Creadores y gestores culturales beneficiados con seguridad social en el marco de la ley 666 de 2001 y decretos reglamentarios</t>
  </si>
  <si>
    <t>En el período 2021-2023 se fortalecen 15 actores de la salsa en gestión cultural y procesos dancísticos</t>
  </si>
  <si>
    <t>Actores de la salsa fortalecidos en gestión cultural y procesos dancísticos</t>
  </si>
  <si>
    <t>En el período 2020-2023 se benefician 90 personas con el proceso de profesionalización de artistas</t>
  </si>
  <si>
    <t>Personas beneficiadas con el proceso de profesionalización de artistas</t>
  </si>
  <si>
    <t>En el período 2020-2023 se  producen 120 contenidos audiovisuales o cinematográficos; artísticos, culturales y de formación,  a través de plataformas</t>
  </si>
  <si>
    <t>Contenidos audiovisuales o cinematográficos, artísticos, culturales y de formación entregados a través de plataformas</t>
  </si>
  <si>
    <t>En el período 2020-2023 se fortalecen 5 escenarios para las artes escénicas de naturaleza pública con programación cultural y artística</t>
  </si>
  <si>
    <t>Escenarios para las artes escénicas de naturaleza pública fortalecidos con programación cultural y artística</t>
  </si>
  <si>
    <t>En el período 2021-2023 se apoyan 30 organizacions de formación artísitca y cultural</t>
  </si>
  <si>
    <t>Organizaciones de formación artística y cultural apoyadas</t>
  </si>
  <si>
    <t>En el período 2020-2023 se promueve la vinculacion de 3.200 jóvenes y adultos en procesos de formación en artes populares y tradicionales</t>
  </si>
  <si>
    <t>Jóvenes y adultos en proceso de formación en artes populares y tradicionales</t>
  </si>
  <si>
    <t>En el período 2021-2023 se certifican en prácticas arísticas y culturales, 485 personas, entre artistas, gestores y creadores</t>
  </si>
  <si>
    <t>Artistas, gestores y creadores culturales certificados en sus prácticas artísticas y culturales</t>
  </si>
  <si>
    <t>En el período 2021-2023, se  apoya la circulación de 12 creaciones artísticasy culturales; populares y tradicionales, en escenarios estratégicos</t>
  </si>
  <si>
    <t>Circulación de las creaciones artísticas y culturales, populares y tradicionales en escenarios estratégicos</t>
  </si>
  <si>
    <t>En el período 2021-2023, se  realizán 3 nuevos eventos que se suman al ecosistema cultural</t>
  </si>
  <si>
    <t>Nuevos eventos que se suman al ecosistema cultural</t>
  </si>
  <si>
    <t>Reestructuración administrativa, académica y pedagógica del Instituto Popular de Cultura operando (</t>
  </si>
  <si>
    <t>Sede para el Instituto Popular de Cultura gestionada y adecuada</t>
  </si>
  <si>
    <t xml:space="preserve"> En el período 2020 - 2023 se incorporan al inventario 3 plazas de mercado de propiedad del Distrito de Santiago de Cali</t>
  </si>
  <si>
    <t>En el período 2021-2023 se realiza la interconectividad de12 Bibliotecas y espacio culturales</t>
  </si>
  <si>
    <t xml:space="preserve"> V1 = Estudio de prefactibilidad con modelo de operación de la Central y Esquema Básico Arquitectónico 
V2 = Estudios, diseños y presupuestos para la construcción. 
V3=licencias y permisos
V4 = Diseños de infraestructura de tecnologías de la información y telecomunicaciones y Desarrollo del Sistema de Información tecnológico de la Central
V5 =  Construcción de la primera fase</t>
  </si>
  <si>
    <t>V1: Puntos de información turística operando</t>
  </si>
  <si>
    <t>A diciembre 2023 se implementa y opera un Sistema de Información Geográfica unificada</t>
  </si>
  <si>
    <t>V1: Tecnologias de Informacion y Comunicacion TICS apoyadas para la promocion del turismo</t>
  </si>
  <si>
    <t>En el periodo 2021-2023 se apoyan 30 organizaciones de consumo cultural y creativo</t>
  </si>
  <si>
    <t>V1= Componentes de la Estratégia Proyectados
V2=Compenentes de la Estratégia Implementados</t>
  </si>
  <si>
    <t>En el período 2020-2023 se realizan anualmente 11 festivales de talla internacional</t>
  </si>
  <si>
    <t>V1: Avance Diseño Cristo Rey 
V2: Avance de Implementación Cristo Rey V3: Avance de Diseño Pance
V4:Avance de Implementación Pance</t>
  </si>
  <si>
    <t>En el periodo 2021-2023 se realizan 4 acciones para el desarrollo de la marca de destino turistico</t>
  </si>
  <si>
    <t>En el periodo 2020- 2023 se realiza la sensibilización de 60 empresas en enfoques diferenciales y de género</t>
  </si>
  <si>
    <t>V1: Entidades públicas y/o privadas sensibilizadas en enfoque diferencial y de género</t>
  </si>
  <si>
    <t>En el periodo 2021-2023 se fomentan y se fortalecen 420 Organizaciones del sector solidario</t>
  </si>
  <si>
    <t>En el período 2020-2023 se  vinculan 800 establecimientos de comercio nocturnos  al proceso de certificación de buenas prácticas de seguridad</t>
  </si>
  <si>
    <t>En el periodo 2021 - 2023 se expiden en linea1240 permisos de eventos de aglomeraciones públicas</t>
  </si>
  <si>
    <t>En el periodo 2020-2023 se formula, aprueba y adopta la Política pública de Derechos Humanos</t>
  </si>
  <si>
    <t>V1= Política pública de Derechos Humanos formulada. 
 V2= Política pública de Derechos Humanos aprobada
 V3= Política pública de Derechos Humanos socializada</t>
  </si>
  <si>
    <t>V1=Política Pública de Barrismo Social formulada. 
V2=Política Pública de Barrismo Social aprobada. 
 V3= Política Pública de Barrismo Social socializada</t>
  </si>
  <si>
    <t>V1= Número de Centros de Orientación Funcionando</t>
  </si>
  <si>
    <t>V1= Sistema implementado</t>
  </si>
  <si>
    <t>V1= Entornos intervenidos</t>
  </si>
  <si>
    <t>En el periodo 2020-2023, el 100% de los jóvenes del sistema de responsabilidad penal se encuentran vinculados al sistema educativo oficial</t>
  </si>
  <si>
    <t>V1= Jóvenes adolescentes del SRPA vinculados al sistema educativo
V2= Jóvenes remitidos entidades responsables del sistema SRPA</t>
  </si>
  <si>
    <t>Al 2023 se ha dado cumplimiento a la normatividad y ha contribuido al goce efectivo de derechos de la población victima incluida en la política de Restitución de Tierras, aportando a la superación de su condición de vulnerabilidad y a la construcción de un escenario de paz y reconciliación en Santiado de Cali</t>
  </si>
  <si>
    <t>V1:Acciones de asistencia y reparación en procesos de restitución de tierras realizadas
V2: Acciones de asistencia y reparación en procesos de restitución de tierras solicitadas</t>
  </si>
  <si>
    <t>V1: Encuentros regionales de prevención y articulación de acciones de alistamiento y mitigación.</t>
  </si>
  <si>
    <t>V1: Plan de acción diseñado y formulado
V2: Plan de acción implementado y en ejecución</t>
  </si>
  <si>
    <t>V1: Sistema Distrital de Atención Integral a la Primera Infancia</t>
  </si>
  <si>
    <t xml:space="preserve">V1: UTS de atención integral con mantenimiento </t>
  </si>
  <si>
    <t>V1: Niñas, Niños, Mujeres gestantes y madres lactantes atendidas</t>
  </si>
  <si>
    <t xml:space="preserve">V1: Agentes educativos y famiilas participantes </t>
  </si>
  <si>
    <t>V1: Niñas, niños y mujeres gestantes de las UTS de Atención Integral a la Primera Infancia con seguimiento en la Ruta Integral de Atenciones - RIA</t>
  </si>
  <si>
    <t>En el periodo2020 - 2023, Se benefician 3.000 personas en Estrategias de Fomento de la Educación Inicial en el marco de la atención integral</t>
  </si>
  <si>
    <t>V1: Atenciones a personar mayores</t>
  </si>
  <si>
    <t>V1: Personas Mayores, niños niñas y adolescentes participantes</t>
  </si>
  <si>
    <t>En el período 2020 – 2023 se pasa de atender 1.400 a 6.000 personas de las comunidades indigenas en atención y orentación social acoerde a su cosmovisión, usos y costumbres.</t>
  </si>
  <si>
    <t>V1= Personas en sufrimiento psíquico y social incluidas en el modelo comunitario en Salud Mental</t>
  </si>
  <si>
    <t>A diciembre de 2023, se mantiene monitoreo y vigilancia sanitaria a 13.000 empresas y grupos de trabajo informal de los sectores económicos en Santiago de Cali,  frente al cumplimiento de condiciones de seguridad y salud en el trabajo</t>
  </si>
  <si>
    <t xml:space="preserve"> A diciembre de  2023, se implementa en 17 entidades de salud la atención integral de VIH/SIDA/Hepatitis B y C, y el enfoque diferencial y de género en la prestación de servicios de salud.</t>
  </si>
  <si>
    <t xml:space="preserve"> En el periodo 2021 - 2023, se implementa  la ruta de promoción y mantenimiento de la salud en el entorno educativo</t>
  </si>
  <si>
    <t>V1 = Número de población sin aseguramiento atendida en las Empresas Sociales del Estado
V2 = Total de población sin aseguramiento</t>
  </si>
  <si>
    <t>V1 = Población migrante atendida
V2 = Total población migrante</t>
  </si>
  <si>
    <t>V1 = Número de IPS con cumplimiento del sistema de garantia de calidad en salud
V2 = Número total de IPS de la Red de prestadores de las EPS</t>
  </si>
  <si>
    <t>V1 = Usuarios con restitución de derechos en salud por la Autoridad Sanitaria. 
V2 = Usuarios atendidos por la Autoridad Sanitaria</t>
  </si>
  <si>
    <t>V1 = Número de riesgos en salud intervenidos
V2 = Número total de riesgos en salud identificados</t>
  </si>
  <si>
    <t>V1 = Edificaciones e instalaciones asociadas al factor de riesgo físico que cumplen condiciones sanitarias seguras
V2 = Edificaciones e instalaciones asociadas al factor de riesgo químico que cumplen condiciones sanitarias seguras
V3 = Edificaciones e instalaciones asociadas al factor de riesgo de consumo que cumplen condiciones sanitarias seguras</t>
  </si>
  <si>
    <t>V1 = Proyectos de renovación urbana o re densificación formulados
V2 = Proyectos de renovación urbana o re densificación adoptados</t>
  </si>
  <si>
    <t>En el periodo 2020- 2023  se formulan  2 Planes Parciales de Renovacion urbana</t>
  </si>
  <si>
    <t>Cali, Nuestra Casa Común</t>
  </si>
  <si>
    <t>5301
Fortalecimiento y Gestión de los Socioecosistemas</t>
  </si>
  <si>
    <t>5301001
Conservación de las Cuencas Hidrográficas</t>
  </si>
  <si>
    <t>En el cuatrienio 2020-2023, EMCALI adelantará actividades de restauración ecológica en 120 hectáreas</t>
  </si>
  <si>
    <t>Hectáreas de recarga restauradas y conservadas en las cuencas abastecedoras de EMCALI</t>
  </si>
  <si>
    <t>En el periodo 2020 - 2023, se incrementan las áreas para la conservación en 1.850 Ha para la sostenibilidad de los servicios ecosistémicos</t>
  </si>
  <si>
    <t>Área para la gestión sostenible de las cuencas hidrográficas, a través de pago por servicios ambientales, restauración y protección de nacimientos, en conservación, con enfoque diferencial y de género</t>
  </si>
  <si>
    <t>En el periodo 2020 - 2023, se cuenta con diecinueve (19) humedales con Planes de Manejo Ambiental en ejecución</t>
  </si>
  <si>
    <t>Humedales con planes de manejo ambiental o planes de acción en ejecución</t>
  </si>
  <si>
    <t>En el periodo 2020 - 2023, se ha fortalecido en un 75% el Sistema Municipal de Áreas Protegidas – SIMAP</t>
  </si>
  <si>
    <t>Sistema Municipal de Áreas Protegidas – SIMAP, ampliado y fortalecido a través del incremento en áreas protegidas y la ejecución de los planes de majeo ambiental</t>
  </si>
  <si>
    <t>En el periodo 2020 - 2023, se ejecutan 25 obras e intervenciones para la descontaminación hídrica de las fuentes superficiales, en el marco de la recuperación del río Cauca</t>
  </si>
  <si>
    <t>Obras e intervenciones para la descontaminación hídrica de las fuentes superficiales, en el marco de la recuperación del río Cauca, ejecutadas</t>
  </si>
  <si>
    <t>En el periodo 2021 - 2023, se adecua ambiental y paisajísticamente en 70 Ha el Ecoparque Rio Pance como parte de la estructura ecológica distrital.</t>
  </si>
  <si>
    <t>Ecoparque Pance incluido en la estructura ecológica distrital y adecuado ambiental y paisajísticamente</t>
  </si>
  <si>
    <t>En el periodo 2020-2023 se realizará cooperación técnica, organizativa y de acompañamiento en la reforestación de las cuencas abastecedoras de los acueductos rurales comunitarios implementada</t>
  </si>
  <si>
    <t>Estrategia para la cooperación técnica, organizativa y de acompañamiento en la reforestación de las cuencas abastecedoras de los acueductos rurales comunitarios implementada</t>
  </si>
  <si>
    <t>5301002
Conectividad Ecológica y Recuperación de Coberturas Verdes</t>
  </si>
  <si>
    <t>En el periodo 2020 - 2023, se incrementan 100.000 árboles en el suelo urbano en el marco del Plan de Silvicultura Urbana (PSU).</t>
  </si>
  <si>
    <t>Renovación del arbolado urbano en el marco del Plan de Silvicultura Urbana (PSU), en ejecución</t>
  </si>
  <si>
    <t>En el periodo 2020 - 2023, se adecúan ambiental y paisajísticamente las zonas blandas de 12 canales de aguas lluvias</t>
  </si>
  <si>
    <t>Canales de aguas lluvias con zonas blandas adecuadas ambiental y paisajísticamente</t>
  </si>
  <si>
    <t>En el periodo 2020 - 2023, se diseñan y adecúan 1.200 Ha de cinco corredores ambientales urbanos</t>
  </si>
  <si>
    <t>Corredores ambientales urbanos de los ríos Cañaveralejo, Meléndez, Lili y Cali; y corredor ambiental rio Cauca, diseñados y adecuados</t>
  </si>
  <si>
    <t>En el periodo 2020 - 2023, se amplia el Vivero Distrital conectado a una red de diez (10) viveros.</t>
  </si>
  <si>
    <t>Vivero Distrital ampliado y conectado con red de viveros</t>
  </si>
  <si>
    <t>5301003
Gobernanza, Gobernabilidad y Cultura Ambiental</t>
  </si>
  <si>
    <t>En el periodo 2020 - 2023, operan las dos instancias de participación y gobernanza SIGAC y CMDR</t>
  </si>
  <si>
    <t>Sistema de Gestión Ambiental Comunitario – SIGAC y Consejo Municipal de Desarrollo Rural – CMDR, operando</t>
  </si>
  <si>
    <t>En el periodo 2020 - 2023, se implementa una plataforma para contrarrestar la tenencia, comercialización ilegal y el maltrato de Fauna Silvestre y el control de especies exóticas introducidas, implementada.</t>
  </si>
  <si>
    <t>Plataforma para contrarrestar la tenencia, comercialización ilegal y el maltrato de fauna silvestre y el control de especies exóticas introducidas, implementada</t>
  </si>
  <si>
    <t>En el periodo 2020 - 2023, operan tres infraestructuras para la atención, valoración y rehabilitación de la Fauna Silvestre y la Flora</t>
  </si>
  <si>
    <t>Infraestructuras para la atención, valoración y rehabilitación de la fauna silvestre y la flora, operando</t>
  </si>
  <si>
    <t>En el periodo 2020 - 2023, se actualiza la Línea Eco como sistema integral de apoyo a la gestión ambiental, en el marco de la arquitectura empresarial.</t>
  </si>
  <si>
    <t>Línea Eco como sistema integral de apoyo a la gestión ambiental, en el marco de la arquitectura empresarial, actualizada</t>
  </si>
  <si>
    <t>En el período 2020-2023 se desmontan 2000 techos a la intemperie en zonas protegidas y no protegidas.</t>
  </si>
  <si>
    <t>Techos a la intemperie en zonas protegidas y no protegidas desmontados</t>
  </si>
  <si>
    <t>En el periodo 2020-2023 se avanzará en el cumplimiento del 88% con la norma técnica TS01 en 3 destinos turisticos</t>
  </si>
  <si>
    <t>Norma Técnica Sectorial de Turismo sostenible NTS TS 001-1 Implementada en Pance - Boulevard del Río y San Antonio</t>
  </si>
  <si>
    <t xml:space="preserve">En el periodo 2020 - 2023, operan 50 Colectivos ambientales de gestores de educación y cultura, co-creando procesos para la reconciliación ambiental y la conservación de la estructura ecológica, operando en redes.  </t>
  </si>
  <si>
    <t>Colectivos ambientales de gestores de educación y cultura, con enfoque diferencial y de género co-creando procesos para la reconciliación ambiental y la conservación de la estructura ecológica, operando en redes</t>
  </si>
  <si>
    <t xml:space="preserve">En el periodo 2021 - 2023, se diseñan e implementan dos herramientas para la gestión, uso eficiente y ahorro de agua, diseñadas y en implementación.  </t>
  </si>
  <si>
    <t>Herramientas para la gestión, uso eficiente y ahorro de agua, diseñadas y en implementación</t>
  </si>
  <si>
    <t>En el periodo 2020-2023 se implementará una (1) estrategia para la protección de la gestión integral y uso racional de agua potable implementada</t>
  </si>
  <si>
    <t>Estrategia para la protección de la gestión integral y uso racional de agua potable implementada</t>
  </si>
  <si>
    <t>En el periodo 2021 - 2022, se adopta una Política Pública de Ética Interespecie y Protección Animal</t>
  </si>
  <si>
    <t>Política Pública de Ética Interespecie y Protección Animal, adoptada</t>
  </si>
  <si>
    <t xml:space="preserve"> En el periodo 2021 - 2022, se construye un Centro de Promoción del Bienestar Animal</t>
  </si>
  <si>
    <t>Centro de Promoción del Bienestar Animal Construido</t>
  </si>
  <si>
    <t>5301004
Ruralidad Sustentable</t>
  </si>
  <si>
    <t>En el periodo 2021 - 2022, se  pone en operación tres (3) Centros Integrados de la Ruralidad.</t>
  </si>
  <si>
    <t>Centros Integrados de la Ruralidad, operando</t>
  </si>
  <si>
    <t xml:space="preserve">a Diciembre de 2021, se realiza el diagnostico registral al 9,3% faltante de los predios del Parque Nacional Farallones </t>
  </si>
  <si>
    <t>Diagnóstico registral de predios del Parque Nacional Natural Farallones realizado</t>
  </si>
  <si>
    <t>En 2022 se elabora un estudio económico para la inclusión de la zona rural de Cali en los Bonos de Carbono</t>
  </si>
  <si>
    <t>Estudio económico para la inclusión de la zona rural de Cali en los Bonos de Carbono elaborado</t>
  </si>
  <si>
    <t>En el periodo 2021-2023 se implementan 16 acciones del plan estratégico de de turismo, rural y de naturaleza</t>
  </si>
  <si>
    <t>Plan estratégico de turismo rural y de naturaleza, adoptado e Implementado</t>
  </si>
  <si>
    <t xml:space="preserve">En el periodo 2020 - 2023, 14 Instituciones Educativas Rurales con acompañamiento para la resignificación del PIER desde un enfoque articulado con Educación ambiental  </t>
  </si>
  <si>
    <t>Instituciones educativas rurales con acompañamiento para la resignificación de sus PIER desde la seguridad alimentaria, la diversidad ambiental y relaciones productivas</t>
  </si>
  <si>
    <t>A diciembre de 2023 se  realiza mantenimiento rutinario de 250 km de vías rurales.</t>
  </si>
  <si>
    <t>Vías rurales con mantenimiento anual rutinario con inclusión social</t>
  </si>
  <si>
    <t>En el periodo 2020-2023, se logra la Política Pública de Educación Rural adoptada</t>
  </si>
  <si>
    <t>Política Pública de Educación Rural adoptada</t>
  </si>
  <si>
    <t>En el periodo 2020-2023, 1  Institución Educativa Rural cuenta con programa piloto de propuesta alimentaria alternativa</t>
  </si>
  <si>
    <t>Institución educativa rural con programa piloto de propuesta alimentaria alternativa</t>
  </si>
  <si>
    <t>5302
Mitigación del Cambio Climático</t>
  </si>
  <si>
    <t>5302001
Gestión Integral de Residuos Sólidos</t>
  </si>
  <si>
    <t>En el periodo 2023 se construye y es puesta en operación una planta de aprovechamiento de residuos sólidos orgánicos</t>
  </si>
  <si>
    <t>Planta de aprovechamiento de residuos sólidos orgánicos construida y en operación</t>
  </si>
  <si>
    <t>En el periodo 2020-2023 se aplica tecnologías de aprovechamiento de residuos sólidos organicos a 150 grandes generadores (plazas de mercado e instituciones educativas públicas)</t>
  </si>
  <si>
    <t>Grandes generadores con tecnologías de aprovechamiento de residuos sólidos orgánicos aplicadas</t>
  </si>
  <si>
    <t>En el periodo 2022-2023 es puesta en operación dos (2) estaciones de clasificación y aprovechamiento de residuos sólidos inorgánicos</t>
  </si>
  <si>
    <t>Estaciones de clasificación y aprovechamiento de residuos sólidos inorgánicos operando</t>
  </si>
  <si>
    <t>En el periodo 2020-2023 se implementan rutas selectivas de residuos sólidos con inclusión de recicladores de oficio en 97 barrios del Municipio de Santiago de Cali</t>
  </si>
  <si>
    <t>Barrios con rutas selectivas de residuos sólidos con inclusión de recicladores de oficio implementadas</t>
  </si>
  <si>
    <t>En el periodo 2020-2023 se encuentra funcionando un sitio de recolección, transporte, aprovechamiento y disposición final para la gestión de residuos de construcción y demolición RCD.</t>
  </si>
  <si>
    <t>Sitio de recolección, transporte, transferencia, aprovechamiento y disposición final para la gestión de residuos de construcción y demolición RCD operando</t>
  </si>
  <si>
    <t>En el periodo 2020-2023 serán intervendios 200 espacios públicos impactados por el manejo inadecuado de residuos sólidos</t>
  </si>
  <si>
    <t>Espacios públicos impactados por el manejo inadecuado de residuos sólidos intervenidos</t>
  </si>
  <si>
    <t>En el periodo 2020-2023 serán tratados 168.000 m3 de lixiviados del antiguo Vertedero de Navarro</t>
  </si>
  <si>
    <t>Lixiviados del antiguo vertedero de Navarro tratados</t>
  </si>
  <si>
    <t>En el periodo 2020-2023 se realiza un monitoreo anual de calidad ambiental (estabilidad de la masa de residuos y calidad del aire) antiguo vertedero de Navarro</t>
  </si>
  <si>
    <t>Monitoreo anual de calidad ambiental (estabilidad de la masa de residuos y calidad del aire) del antiguo vertedero de Navarro</t>
  </si>
  <si>
    <t>En el periodo 2020 - 2023, se vinculan 1.500 Generadores de Residuos de Construcción y Demolición-RCD y Residuos Ordinarios, vinculados a un proceso de manejo eficiente y mejores prácticas en su gestión.</t>
  </si>
  <si>
    <t>Generadores de Residuos de Construcción y Demolición-RCD y Residuos Ordinarios, vinculados a un proceso de manejo eficiente y mejores prácticas en su gestión</t>
  </si>
  <si>
    <t>En el periodo 2020-2023 se elaboran 4 estudios para la planificación de la gestión integral de residuos sólidos, la prestación del servicio público de aseo y sus actividades complementarias</t>
  </si>
  <si>
    <t>Estudios para la planificación de la gestión integral de residuos sólidos, la prestación del servicio público de aseo y sus actividades complementarias elaborados</t>
  </si>
  <si>
    <t>En el periodo 2021-2023 se sensibilizan 250.000 personas en gestión de residuos sólidos con inclusión de recicladores de oficio</t>
  </si>
  <si>
    <t>Personas sensibilizadas en gestión de residuos sólidos con inclusión de recicladores de oficio</t>
  </si>
  <si>
    <t xml:space="preserve">  En el periodo 2021-2023 se implementa nuevo modelo de aseo</t>
  </si>
  <si>
    <t>Nuevo modelo de servicio de aseo, implementado</t>
  </si>
  <si>
    <t>5302002
Ecosistema de Innovación “Cali Circular”</t>
  </si>
  <si>
    <t>En el periodo 2021-2023, se fortalecen 200 Empresas y emprendimientos en capacidades de Economía Circular</t>
  </si>
  <si>
    <t>Empresas y emprendimientos fortalecidos en capacidades para el fomento de la economía Circular</t>
  </si>
  <si>
    <t>En el peiodo 2020-2023, se diseña, se implementa y se certifica un Sistema de Gestión de Economía Circular "Cali Circular"</t>
  </si>
  <si>
    <t>Sistema de Gestión de economía circular diseñado, implementado y certificado</t>
  </si>
  <si>
    <t>En el periodo del 2020-2022, se elaboran 3 estudios de analisis economico para el aprovechamiento de residuos orgánicos, inorgánicos, RCD</t>
  </si>
  <si>
    <t>Estudios de Análisis Económico e Impacto para el aprovechamiento de residuos orgánicos, inorgánicos y RCD elaborado</t>
  </si>
  <si>
    <t>En el periodo 2020-2023,  se fortalecen el 100% de las asociaciones de recicladores de oficio en Economía Solidaria, en desarrollo empresarial y competitividad</t>
  </si>
  <si>
    <t>Asociaciones de recicladores de oficio de economía solidaria fortalecidas en desarrollo empresarial y competitividad</t>
  </si>
  <si>
    <t>5302003
Producción y Consumo Responsable</t>
  </si>
  <si>
    <t>En el periodo 2021-2023 se implementan 4 Estrategias para el fomento de la producción limpia y el consumo responsable</t>
  </si>
  <si>
    <t>Estrategias para el fomento de la producción limpia y el consumo responsable implementadas</t>
  </si>
  <si>
    <t>En el periodo 2021-2023 se formula e implementa un Plan para el fortalecimiento de Negocios Verdes</t>
  </si>
  <si>
    <t>Plan para el fortalecimiento de Negocios Verdes formulado e implementado</t>
  </si>
  <si>
    <t>En el periodo 2021-2023 se  fortalecen 70 productores agricolas locales fortalecidos en técnicas de producción sostenible, competitividad y asociatividad</t>
  </si>
  <si>
    <t>Productores agrícolas locales fortalecidos en técnicas de producción sostenible, competitividad y asociatividad</t>
  </si>
  <si>
    <t>En el periodo 2021-2023 se implementan en 30 entidades, programas de eficiencia energetica</t>
  </si>
  <si>
    <t>Entidades con programas de eficiencia energética implementados</t>
  </si>
  <si>
    <t>En el periodo 2020 - 2023, se orientan 85 empresas con cambios hacia patrones de producción y consumo sostenible</t>
  </si>
  <si>
    <t>Empresas con cambios hacia patrones de producción y consumo sostenible</t>
  </si>
  <si>
    <t xml:space="preserve">En el periodo 2020 - 2023, se registran, evalúan y promueven 80 negocios verdes </t>
  </si>
  <si>
    <t>Negocios verdes registrados, evaluados y promovidos</t>
  </si>
  <si>
    <t xml:space="preserve">En el periodo 2020 - 2023, 350 obras de desarrollo urbanístico y habitabilidad, aplican Buenas Prácticas Ambientales y de Construcción Sostenible </t>
  </si>
  <si>
    <t>Obras de desarrollo urbanístico y habitabilidad, aplicando buenas prácticas ambientales y de construcción sostenible</t>
  </si>
  <si>
    <t>En el periodo 2020 - 2023, se efectúa control con medidas de mitigación ambiental a 100 establecimientos con usos de alto impacto ambiental</t>
  </si>
  <si>
    <t>Establecimientos con usos de alto impacto ambiental de controlados con medidas de mitigación ambiental</t>
  </si>
  <si>
    <t>A Diciembre 2023 se ha creado el directorio verde de empresas de arenas y gravas</t>
  </si>
  <si>
    <t>Creación del directorio verde de empresas de arenas y gravas</t>
  </si>
  <si>
    <t>En el periodo 2021 - 2023, se beneficia a 300 mujeres con proyectos para la producción agroecológica y consumo responsables con enfoque diferencial y de género</t>
  </si>
  <si>
    <t>Mujeres beneficiadas con proyectos para la producción agroecológica y consumo responsables con enfoque diferencial y de género</t>
  </si>
  <si>
    <t>5302004
Reducción de la Huella Ecológica de Santiago de Cali</t>
  </si>
  <si>
    <t>En el periodo 2020 - 2023, se ejecutan seis medidas de acción a  corto plazo del Plan Integral de Mitigación y Adaptación al Cambio Climático de Santiago de Cali</t>
  </si>
  <si>
    <t>Medidas de acción a corto plazo del Plan integral de gestión del Cambio Climático de Santiago de Cali, ejecutadas</t>
  </si>
  <si>
    <t>En el período 2020 - 2023 se adquieren 26 vehículos eléctricos en el parque automotor del Distrito de Santiago de Cali</t>
  </si>
  <si>
    <t>Vehículos eléctricos en el Distrito adquiridos</t>
  </si>
  <si>
    <t>En el periodo 2021-2023 se realizan 30.000 controles de emisiones a vehiculos en la ciudad de cali</t>
  </si>
  <si>
    <t>Vehículos con control y vigilancia de emisiones en zonas priorizadas por la autoridad ambiental realizados</t>
  </si>
  <si>
    <t>Entre el 2021 y el 2023, Adecuar mínimo 45 nuevas viviendas (Hogares Sostenibles) con Energía Solar Fotovoltaica en Cali (1 Kwp - Recursos EMCALI)</t>
  </si>
  <si>
    <t>Cantidad de hogares sostenibles con soluciones Solares Fotovoltaicas&lt;1 Kwp en Cali</t>
  </si>
  <si>
    <t>En el 2023, Adecuar 5.100 nuevas viviendas (Hogares Sostenibles) con Energía Solar Fotovoltaica en SDL (1,8 Kwp - Recursos OCAD y/o Otros)</t>
  </si>
  <si>
    <t>Cantidad de hogares sostenibles con soluciones solares fotovoltaicas =1 8 Kwp en SDL</t>
  </si>
  <si>
    <t>Entre el 2021 al 2023, Adecuar mínimo 20 Clientes Oficiales con Energía Solar Fotovoltaica en Cali</t>
  </si>
  <si>
    <t>Cantidad de clientes oficiales con soluciones solares fotovoltaicas &lt;1 Kwp en Cali</t>
  </si>
  <si>
    <t>En el cuatrienio 2020-2023, Adecuar mínimo 52 Clientes Particulares con Energía Solar Fotovoltaica en SDL</t>
  </si>
  <si>
    <t>Cantidad de clientes particulares con soluciones solares Fotovoltaicas en SDL</t>
  </si>
  <si>
    <t>Al 2022, Construir y entregar en Funcionamiento una Granja Solar, proyectada por EMCALI en SDL</t>
  </si>
  <si>
    <t>Cantidad de granjas solares construidas en SDL</t>
  </si>
  <si>
    <t>Entre el 2021 y 2023, Adquirir e Instalar 100 Transformadores de Distribución con Aceite Vegetal</t>
  </si>
  <si>
    <t>Cantidad de transformadores de distribución en aceite vegetal instalados en SDL</t>
  </si>
  <si>
    <t>Entre el 2021 y el 2023, Adquirir y entregar en funcionamiento, al menos 20 Vehículos eléctricos (VE) en EMCALI</t>
  </si>
  <si>
    <t>Cantidad de vehículos eléctricos (para la operación) en funcionamiento en EMCALI</t>
  </si>
  <si>
    <t>Entre el 2021 y el 2023, Adquirir y entregar en funcionamiento, al menos 4 Estaciones de Recarga para VE en SDL</t>
  </si>
  <si>
    <t>Cantidad de estaciones de recarga habilitadas para VE en SDL</t>
  </si>
  <si>
    <t>En cuatrenio 2020-2023, se conectaran con la oficina virtual de EMCALI, 15.500 empresas</t>
  </si>
  <si>
    <t>Cantidad de usuarios (empresas y/o independientes) conectados con la oficina virtual</t>
  </si>
  <si>
    <t>Enel periodo 2020 -2021 se elabora estudio plan de incentivo al uso de vehiculos electricos e hibridos de servicio publico y particular en el Distrito de Cali</t>
  </si>
  <si>
    <t>Estudio de generación plan incentivos al uso de vehículos eléctricos e híbridos de servicio público y particular en el Distrito de Cali elaborado</t>
  </si>
  <si>
    <t>5303
Soporte Vital para el Desarrollo</t>
  </si>
  <si>
    <t>5303001
Gestión del Agua</t>
  </si>
  <si>
    <t>En el periodo 2021 - 2023, se ejecutan cuatro (4) proyectos  definidos en el Plan de Manejo Ambiental del Acuífero de Cali -PMAA</t>
  </si>
  <si>
    <t>Proyectos definidos en el Plan de Manejo Ambiental del Acuífero de Cali -PMAA, priorizados y ejecutados</t>
  </si>
  <si>
    <t>En el periodo 2021- 2022, se formulan, adoptan y ejecutan cuatro (4) Instrumentos de planificación (PORH) para garantizar calidad y cantidad de agua, para el sostenimiento de los ecosistemas acuáticos y los usos actuales y potenciales del agua.</t>
  </si>
  <si>
    <t>Instrumentos de planificación (PORH) para garantizar calidad y cantidad de agua, para el sostenimiento de los ecosistemas acuáticos y los usos actuales y potenciales del agua, formulados, adoptados y en ejecución</t>
  </si>
  <si>
    <t>Entre 2020-2023 se ejecutara la Construccion y puesta en marcha de un (1) piloto a escala real de sistema de Filtración en lecho de Rio.</t>
  </si>
  <si>
    <t>Avance piloto a escala real de sistema de filtración en lecho de río, construido y en funcionamiento, en PTAP Cauca</t>
  </si>
  <si>
    <t>Entre 2020-2023 se participara en Dos (2) áreas pilotos con esquemas diferenciados para la promoción de sistemas sostenibles de acueducto y alcantarillado</t>
  </si>
  <si>
    <t>Participación en dos (2) proyectos de impacto regional para la promoción de sistema sostenibles de abastecimiento de agua y saneamiento ambiental</t>
  </si>
  <si>
    <t>Entre 2020-2023 se adelantará el mantenimiento de los reservorios de la planta de tratamientode agua potable de Puerto Mallarino y su aislamiento</t>
  </si>
  <si>
    <t>Reservorio de la planta de tratamiento de agua potable de Puerto Mallarino mantenido y con aislamiento</t>
  </si>
  <si>
    <t>5303002
Soberanía Energética</t>
  </si>
  <si>
    <t>Al 2021, Construir y entregar en Funcionamiento un Anillo de Distribución de Energía Eléctrica a 115 Kv en SDL</t>
  </si>
  <si>
    <t>Anillo a 115 Kv construido y funcionando en SDL</t>
  </si>
  <si>
    <t>Al 2021, Construir y entregar en Funcionamiento la Nueva Subestación de Distribución de Energía Eléctrica a 115 Kv, denominada Ladera en SDL.</t>
  </si>
  <si>
    <t>Subestación de Energía Ladera construida y funcionando en SDL</t>
  </si>
  <si>
    <t>En el cuatrienio 2020-2023, Construir y entregar en Funcionamiento, 200 Km de red de Media Tensión en SDL</t>
  </si>
  <si>
    <t>Kilómetros de red de media tensión construidos en SDL</t>
  </si>
  <si>
    <t>En el cuatrienio 2020-2023, Instalar 122 equipos de maniobra en las redes de EMCALI</t>
  </si>
  <si>
    <t>Equipos de maniobra instalados en SDL</t>
  </si>
  <si>
    <t>En el cuatrienio 2020-2023, Instalar 170,94 Km de Cable Semiaislado (Cable Ecológico) en las Redes de EMCALI</t>
  </si>
  <si>
    <t>Kilómetros Intervenidos con cable ecológico en SDL</t>
  </si>
  <si>
    <t>En el cuatrienio 2020-2023, Instalar 35.479 Nuevos Servicios provenientes del Programa de Reducción de Perdidas de Energía en SDL</t>
  </si>
  <si>
    <t>Nuevos servicios instalados por programa de reducción de pérdidas de energía en SDL</t>
  </si>
  <si>
    <t>5303003
Saneamiento Básico y Tratamiento de Aguas Residuales</t>
  </si>
  <si>
    <t>Entre 2020-2023 se Contará con dos (2) estrategias implementadas para disminuir contaminación por vertimientos líquidos</t>
  </si>
  <si>
    <t>Definir y ejecutar dos (2) estrategias de reducción de contaminación por vertimientos líquidos en el recurso hídrico</t>
  </si>
  <si>
    <t>En el periodo 2022 - 2023, se diseña e implementa una estrategia  interinstitucional para el manejo de agua residual en Asentamientos Humanos de Desarrollo Incompleto.</t>
  </si>
  <si>
    <t>Estrategia interinstitucional para el manejo de agua residual en asentamientos humanos de desarrollo incompleto, diseñada y en implementación</t>
  </si>
  <si>
    <t>Entre 2020-2023 se elaboraran dos (2) estudios y Diseño PTAR -SUR</t>
  </si>
  <si>
    <t>Estudios y diseños de la Planta de Tratamiento de Aguas Residuales de Sur (PTAR-S) elaborados</t>
  </si>
  <si>
    <t>En el periodo 2020-2023 son construidos 12 sistemas de tratamiento de agua residual domestica (PTARD) en la zona rural</t>
  </si>
  <si>
    <t>Plantas de Tratamiento de Agua Residual Doméstica (PTARD) construidas en la zona rural</t>
  </si>
  <si>
    <t>En el periodo 2020-2023 se construyen 126 sistemas individuales de tratamiento de agua residual domestica (SITARD)</t>
  </si>
  <si>
    <t>Sistemas Individuales de Tratamiento de Agua Residual Doméstica (SITARD) construidas</t>
  </si>
  <si>
    <t>En el periodo 2021-2023 son mejoradas 17 plantas de tratamiento de agua residual domestica (PTARD) en la zona rural.</t>
  </si>
  <si>
    <t>Plantas de Tratamiento de Agua Residual Doméstica (PTARD) mejoradas en la zona rural</t>
  </si>
  <si>
    <t>En el periodo 2021-2023 son mejorados 100 sistemas individuales de tratamiento de agua residual domestica (SITARD)</t>
  </si>
  <si>
    <t>Sistemas Individuales de Tratamiento de Agua Residual Doméstica (SITARD) mejoradas</t>
  </si>
  <si>
    <t>Entre 2020-2023 se mejorara el Sistema de tratamiento primario de la PTAR Cañaveralejo de la ciudad de Cali</t>
  </si>
  <si>
    <t>Sistema de Tratamiento Primario de la PTAR Cañaveralejo mejorado</t>
  </si>
  <si>
    <t>5303004
Gestión de la calidad del aire y disminución y control del impacto sonoro</t>
  </si>
  <si>
    <t>En el periodo 2020 - 2023, se implementan dos acciones del Programa de Aire Limpio.</t>
  </si>
  <si>
    <t>Acciones del Programa de Aire Limpio implementadas</t>
  </si>
  <si>
    <t>En el periodo 2020 - 2023, se actualiza, adopta y ejecuta el Plan de Mejoramiento de Ambiente Sonoro</t>
  </si>
  <si>
    <t>Plan de Mejora del Ambiente Sonoro, actualizado, adoptado y ejecutado</t>
  </si>
  <si>
    <t>5304
Movilidad Multimodal Sustentable</t>
  </si>
  <si>
    <t>5304001
Movilidad Peatonal</t>
  </si>
  <si>
    <t>En el periodo 2020-2023 se genera y recupera 384.404 m2 de Espacio Público Espacio Público asociado al SITM-MIO.</t>
  </si>
  <si>
    <t>Espacio público asociado al SITMMIO generado y recuperado</t>
  </si>
  <si>
    <t>A diciembre de 2023 se han construido 7 Soluciones Peatonales incluidos la zona urbana y rural</t>
  </si>
  <si>
    <t>Construcción de soluciones peatonales en zona urbana y rural</t>
  </si>
  <si>
    <t>A diciembre de 2023 se han realizado mantenimiento a 37 puentes peatonales en la zona urbana y rural.</t>
  </si>
  <si>
    <t>Mantenimiento de puentes peatonales de la zona urbana y rural</t>
  </si>
  <si>
    <t>A diciembre de 2023 se ha realizado mantenimiento de 28.900 m2 de la red peatonal de la zona urbana y rural.</t>
  </si>
  <si>
    <t>Mejoramiento de la red peatonal en la zona urbana y rural</t>
  </si>
  <si>
    <t>5304002
Movilidad en Bicicleta</t>
  </si>
  <si>
    <t>En el periodo 2020-2023 se implementa 8,8 km de Red de Ciclo-infraestructura (ciclo rutas integradas al SITM-MIO)</t>
  </si>
  <si>
    <t>Red de Ciclo-infraestructura (ciclo rutas integradas al SITM-MIO) implementadas</t>
  </si>
  <si>
    <t>En el periodo 2020-2023 se construye 31 Puntos de Ciclo-parqueaderos integrados al SITM-MIO.</t>
  </si>
  <si>
    <t>Cicloparquedaeros integrados al SITM-MIO construidos</t>
  </si>
  <si>
    <t>A diciembre de 2023 se han construido 81km de ciclo-infraestructura</t>
  </si>
  <si>
    <t>Kilómetros de ciclo-infraestructura construida</t>
  </si>
  <si>
    <t>A diciembre de 2023 se ha realizado mantenimiento de 2 km de ciclo infraestructura.</t>
  </si>
  <si>
    <t>Kilómetros de ciclo-infraestructura mantenida</t>
  </si>
  <si>
    <t>En el periodo 2021-2023 se implementan 20 km de cicloinfraestructura en el Distrito de Cali</t>
  </si>
  <si>
    <t>Kilómetros de ciclo infraestructura en calzada implementados</t>
  </si>
  <si>
    <t>En el periodo 2021-2023 , se instalan 161 puntos de ciclo - parqueaderos en el Distrito  de cali</t>
  </si>
  <si>
    <t>Puntos de Ciclo parqueaderos en la ciudad instalados</t>
  </si>
  <si>
    <t>5304003
Transporte Público de Pasajeros</t>
  </si>
  <si>
    <t>En el período 2021-2023 se elaboran 3 estudios complementarios para la etapa de factibilidad del Tren de Cercanías</t>
  </si>
  <si>
    <t>Estudios Técnicos complementarios para el Tren de Cercanías elaborados</t>
  </si>
  <si>
    <t>Entre el 2021 y 2023 se adecua 22 km de corredores pre troncales del SITM - MIO, con Carriles preferenciales.</t>
  </si>
  <si>
    <t>km de corredores pre troncales del SITM - MIO, adecuados con Carriles preferenciales</t>
  </si>
  <si>
    <t>En el periodo 2020-2023 se construye 20,6 km Corredores troncales del SITM - MIO.</t>
  </si>
  <si>
    <t>km de Corredores troncales del SITM - MIO construidos</t>
  </si>
  <si>
    <t>A finalizar el 2022 circulan 1322  buses del SITM-MIO con baja contaminación en hora pico (promedio flota ejecutadal).</t>
  </si>
  <si>
    <t>Buses del SITM-MIO con baja contaminación en circulación en hora pico (promedio flota ejecutada)</t>
  </si>
  <si>
    <t>Entre el 2020 y 2023 se construyen 1,72 Terminales de cabecera del SITM-MIO.</t>
  </si>
  <si>
    <t>Terminales de cabecera del SITM- MIO construidas</t>
  </si>
  <si>
    <t>Entre el 2020 y 2023 se construyen 1,29 Terminales Intermedias del SITM MIO</t>
  </si>
  <si>
    <t>Terminales Intermedias del SITM MIO, construidas</t>
  </si>
  <si>
    <t>En el periodo 2021-2023  se contara con 28 Estaciones de parada en corredores troncales del SITM-MIO.</t>
  </si>
  <si>
    <t>Estaciones de parada en corredores troncales del SITM-MIO, construidas</t>
  </si>
  <si>
    <t>Entre el 2020 y 2023 se tendra 5 Patio Talleres del SITM MIO</t>
  </si>
  <si>
    <t>Patio Talleres del SITM MIO construidos</t>
  </si>
  <si>
    <t>En el periodo 2021-2023  se implementan 3  sistemas de servicio complementario integrados al SITM-MIO.</t>
  </si>
  <si>
    <t>Sistemas de servicio complementario intramunicipal (camperos y/o transporte público colectivo, sistema de bicicletas públicas alimentadoras) y supramunicipal integrados al SITM MIO</t>
  </si>
  <si>
    <t>Al 2023 se cuenta con el Estudio de prefactibilidad de la segunda línea del Sistema aéreo suspendido alimentador del MIO Cable.</t>
  </si>
  <si>
    <t>Estudio de prefactibilidad de la segunda línea del Sistema aéreo suspendido alimentador del MIO Cable, realizado</t>
  </si>
  <si>
    <t>A diciembre de 2023 circulan 1322  buses del SITM-MIO con baja contaminación en hora pico (promedio flota ejecutadal).</t>
  </si>
  <si>
    <t>Ejecución de recursos FESDE para la operación del Sistema de Transporte Masivo, reportado</t>
  </si>
  <si>
    <t>En el periodo 2020-2023 se implementa un Sistema inteligente de transporte en el SITM-MIO.</t>
  </si>
  <si>
    <t>Ejecución de recursos componente tecnológico, reportado al STIM</t>
  </si>
  <si>
    <t xml:space="preserve"> En el periodo 2020-2023 se implementan 4 Estrategias financieras y operativas de optimización del SITM-MIO. </t>
  </si>
  <si>
    <t>Estrategias financieras y operativas de optimización del SITM_MIO implementadas</t>
  </si>
  <si>
    <t>5304004
Mejoramiento de la Infraestructura Vial</t>
  </si>
  <si>
    <t>A diciembre de 2023 se han construido 6 intersecciones viales a desnivel.</t>
  </si>
  <si>
    <t>Intersecciones viales a desnivel construidas</t>
  </si>
  <si>
    <t>A diciembre de 2023 se han construido 6 intersecciones viales a nivel.</t>
  </si>
  <si>
    <t>Intersecciones viales a nivel construidas</t>
  </si>
  <si>
    <t>A diciembre de 2023 se han construido 24 km de vías y obras de drenaje.</t>
  </si>
  <si>
    <t>Vías y obras de drenaje en la zona urbana y rural construidas</t>
  </si>
  <si>
    <t>A diciembre de 2023 se ha realizado mejoramiento víal de 400 km de la zona urbana y rural.</t>
  </si>
  <si>
    <t>Vías con mantenimiento y rehabilitación eco sostenible</t>
  </si>
  <si>
    <t>A diciembre de 2023 se  realiza mantenimiento a 16 puentes vehiculares de la zona urbana y rural de Cali</t>
  </si>
  <si>
    <t>Puentes vehiculares en la zona urbana y rural mantenidos</t>
  </si>
  <si>
    <t>A diciembre de 2023  entrará en ejecucion  14  frentres de trabajo de las 21 Mega obras.</t>
  </si>
  <si>
    <t>Frentes de trabajo de las 21 Megaobras ejecutados mediante el sistema de contribución por valorización</t>
  </si>
  <si>
    <t>A diciembre de 2023 se  implementa el 100% del Sistema de Gestion de Infraesturctura Víal de Cali.</t>
  </si>
  <si>
    <t>Implementación del Sistema de gestión de Infraestructura Vial de Cali</t>
  </si>
  <si>
    <t>A diciembre de 2023 se han construido 4 km de vías de la prolongación Avenida Ciudad de Cali, entre la carrera 109 y Rio Jamundí.</t>
  </si>
  <si>
    <t>Construcción de vías de la prolongación Avenida Ciudad de Cali, entre la carrera 109 y Rio Jamundí</t>
  </si>
  <si>
    <t>5304005
Regulación, Control y Gestión Inteligente del Tránsito</t>
  </si>
  <si>
    <t>En el periodo 2020-2023 se realiza anualmente el mantenimiento a la red semaforizada de cali</t>
  </si>
  <si>
    <t>Mantenimiento de la red semaforizada en Cali realizada</t>
  </si>
  <si>
    <t>En el periodo 2020-2023 se señalizan 5.198 puntos de red vial de Cali</t>
  </si>
  <si>
    <t>Puntos de la red vial del Distrito de Cali señalizados</t>
  </si>
  <si>
    <t>En el periodo 2020-2023 se realizan 4.000 operativos de control a vehiculos automotores</t>
  </si>
  <si>
    <t>Operativos en vía para el control de vehículos automotores realizados</t>
  </si>
  <si>
    <t>En 2022 se formula 1 plan de carga y logisitica para Cali.</t>
  </si>
  <si>
    <t>Plan especial de transporte de carga y logística para Cali formulado</t>
  </si>
  <si>
    <t>En el periodo 2021-2023 se implementan 49 acciones del plan de seguridd vial.</t>
  </si>
  <si>
    <t>Acciones del plan local de seguridad vial implementados</t>
  </si>
  <si>
    <t>En el periodo 2020-2023 se se mejora la Infraestructura física y tecnológica para una atención efectiva integral al usuario</t>
  </si>
  <si>
    <t>Infraestructura física y tecnológica para una atención efectiva integral al usuario realizada</t>
  </si>
  <si>
    <t>En el periodo 2020-2023 opera el Centro de Enseñanza Automovilística del Distrito de Cali</t>
  </si>
  <si>
    <t>Centro de enseñanza automovilística de Distrito de Cali operando</t>
  </si>
  <si>
    <t>En el periodo 2022-2023 se implementan 8 Zonas de Estacionamiento Regulado implementadas (ZER)</t>
  </si>
  <si>
    <t>Zonas Especiales de Estacionamiento Regulado - ZER implementadas</t>
  </si>
  <si>
    <t>En el periodo 2020-2023 se sensibilizan 590.000 actores de la movilidad</t>
  </si>
  <si>
    <t>Actores de la movilidad sensibilizados sobre la movilidad sostenible y segura</t>
  </si>
  <si>
    <t>En el periodo 2021-2023 se realizan 20 promociones de comportamientos y practicas seguras en Cali</t>
  </si>
  <si>
    <t>Promoción y pedagogía de comportamientos y prácticas seguras para la movilidad sustentable y sobre estrategias de regulación del tránsito realizadas</t>
  </si>
  <si>
    <t>En el periodo 2021-2023 se implementan 130 espacios de participacion e interaccion con actores viales.</t>
  </si>
  <si>
    <t>Espacios de participación e interacción con los diversos actores viales y comunidad del Municipio de Cali implementados</t>
  </si>
  <si>
    <t>A diciembre de 2023 se formulan 12 planes especiales zonales de gestión del estacionamiento</t>
  </si>
  <si>
    <t>Planes especiales zonales de gestión del estacionamiento formulados</t>
  </si>
  <si>
    <t>5305
Gestión del Riesgo</t>
  </si>
  <si>
    <t>5305001
Conocimiento del Riesgo</t>
  </si>
  <si>
    <t>En el periodo 2020-2023 se realizan 12.248 verificaciones de Riesgos por Fenómenos de Origen Tecnológico, Socio-natural, Natural y Antrópico, realizadas</t>
  </si>
  <si>
    <t>Verificaciones de Riesgos por Fenómenos de Origen Tecnológico, Socio-natural, Natural y Antrópico, realizadas Fenómenos de Origen Tecnológico, Socio-natural, Natural y Antrópico, realizadas</t>
  </si>
  <si>
    <t>En el periodo 2021-2023 se diseña e implementa el Sistema integral de información de la gestión del riesgo bajo Arquitectura Empresarial</t>
  </si>
  <si>
    <t>Sistema integral de información de la gestión del riesgo, diseñado e implementado bajo Arquitectura empresarial</t>
  </si>
  <si>
    <t>En el período 2021-2023 se mantiene ajustado el Plan de Gestión del Riesgo de Desastres de Santiago de Cali</t>
  </si>
  <si>
    <t>Plan de Gestión del Riesgo de Desastres de Santiago de Cali, Ajustado</t>
  </si>
  <si>
    <t>En el período 2020-2023 se construye el Centro Integral para la Gestión del Riesgo de Emergencias y Desastres</t>
  </si>
  <si>
    <t>Centro Integral para la Gestión del Riesgo de Emergencias y Desastres, construido</t>
  </si>
  <si>
    <t>En el periodo 2020 - 2023, se fortalecen y operan dos redes para la vigilancia e identificación de amenazas socio naturales generadoras de riesgo.</t>
  </si>
  <si>
    <t>Redes para la vigilancia e identificación de amenazas socio naturales generadoras de riesgo, fortalecidas y en funcionamiento</t>
  </si>
  <si>
    <t>En el período 2021-2023 se elabora la evaluación del riesgo sísmico para todo el suelo urbano del municipio</t>
  </si>
  <si>
    <t>Evaluación del riesgo por sismos en el suelo urbano, elaborada</t>
  </si>
  <si>
    <t>A diciembre de 2023 se ajustan los estudios básicos y detallados sobre movimientos en masa con los requerimientos del Decreto 1807 de 2014</t>
  </si>
  <si>
    <t>Estudios básicos y detallados sobre movimientos en masa ajustados</t>
  </si>
  <si>
    <t>En el 2021, se elabora una evaluación riesgo por inundaciones pluviales y fluviales de la comuna 22, área de expansión urbana, corredor Cali- Jamundí y área suburbana de Pance</t>
  </si>
  <si>
    <t>Evaluación de riesgo por inundaciones pluviales y fluviales de la comuna 22, área de expansión urbana, corredor Cali- Jamundí y área suburbana de Pance, elaborada</t>
  </si>
  <si>
    <t>5305002
Reducción del Riesgo</t>
  </si>
  <si>
    <t>En el período 2021-2023 se restituye el espacio público por el desmonte de 768 techos en la zona del Jarillón y Lagunas con procesos de concertación y garantía de derechos</t>
  </si>
  <si>
    <t>Restitución de espacio público por desmonte de techos en Jarillón y Lagunas, con procesos de concertación y garantía de derechos</t>
  </si>
  <si>
    <t>En el periodo 2020 2023 se asignan 3600 subsidios de vivienda de interés social modalidad arrendamiento a hogares en proceso de reasentamiento</t>
  </si>
  <si>
    <t>Hogares con subsidios municipal de vivienda de interés social, modalidad arrendamiento proceso reasentamiento</t>
  </si>
  <si>
    <t>A diciembre de 2023 se han construido 640 m3 de obras de estabilización y contención de la zona urbana y rural.</t>
  </si>
  <si>
    <t>Construcción de obras de estabilización y contención en la zona urbana y rural de Cali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</si>
  <si>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</si>
  <si>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</si>
  <si>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En el periodo 2020 - 2023, se diseñan y ejecutan 20 obras e intervenciones para la reducción del riesgo por amenaza natural y socio natural, en el área urbana y periurbana.</t>
  </si>
  <si>
    <t>Obras e intervenciones para la reducción de riesgos por inundaciones fluviales y pluviales, movimientos en masa y avenidas torrenciales diseñadas y ejecutadas</t>
  </si>
  <si>
    <t>En el periodo 2021 - 2023, se implementan tres pilotos de Sistemas Urbanos de Drenaje Sostenible (SUDS) y Soluciones Basadas en la Naturaleza  (SBN), con la generación de los lineamientos y determinantes ambientales en el manejo de escorrentías</t>
  </si>
  <si>
    <t>Pilotos de Sistemas Urbanos de Drenaje Sostenible (SUDS) y Soluciones Basadas en la Naturaleza (SBN) implementados con la generación de los lineamientos y determinantes ambientales en el manejo de escorrentías</t>
  </si>
  <si>
    <t>En el periodo 2020 - 2023, se estabilizan 3.000 M2 de terrenos que presentan condiciones de riesgo mitigable</t>
  </si>
  <si>
    <t>Área de asentamientos humanos en riesgo mitigable por movimientos en masa estabilizada</t>
  </si>
  <si>
    <t>En el período 2020-2023 se fortalecen 7,920 personas en el Conocimiento de las Buenas Prácticas para la Gestión del Riesgo</t>
  </si>
  <si>
    <t>Personas fortalecidas en el conocimiento de las buenas prácticas para la gestión del riesgo</t>
  </si>
  <si>
    <t xml:space="preserve">En el periodo 2020-2023 se reasientan 3.825 hogares localizados en zonas de riesgo no mitigable por inundaciones en zonas urbanas y rurales </t>
  </si>
  <si>
    <t>Hogares localizados en zonas de riesgo no mitigable por inundaciones reasentados en zonas urbanas y rurales con procesos de concertación y garantía de derechos</t>
  </si>
  <si>
    <t xml:space="preserve">En el periodo 2020-2023 se fortalecen en gestión del riesgo 300 guardianes del jarillón </t>
  </si>
  <si>
    <t>Guardianes del Jarillón fortalecidos en competencias de Gestión del Riesgo</t>
  </si>
  <si>
    <t>A diciembre de 2023 se ha realizado demolición de 2.317 techos afectados por asentamientos. Proyecto  Plan Jarillón.</t>
  </si>
  <si>
    <t>Demoliciones de techos de áreas afectadas por asentamientos de desarrollo incompleto del Proyecto Plan Jarillón, realizadas con procesos de concertación y garantía de derechos</t>
  </si>
  <si>
    <t>En el período 2021-2023 se cierran 22 bocaminas activas ilegales</t>
  </si>
  <si>
    <t>Bocaminas activas ilegales cerradas</t>
  </si>
  <si>
    <t>En el periodo 2020 2023 se adquieren 57 Predios con títulos justificativo de dominio en zonas de riesgo no mitigable por inundaciones</t>
  </si>
  <si>
    <t>Adquisición de predios con títulos justificativo de dominio en zonas de riesgo no mitigable por inundaciones</t>
  </si>
  <si>
    <t>A diciembre de 2023  se reasientan 400 hogares  en viviendas productivas rurales</t>
  </si>
  <si>
    <t>Hogares reasentados en viviendas productivas rurales, con procesos de concertación y garantía de derechos</t>
  </si>
  <si>
    <t>En el periodo 2020-2023  se formulan planes de reasentamiento para 539 hogares pertenecientes a población ubicada en zonas en riesgo no mitigable</t>
  </si>
  <si>
    <t>Hogares con planes de reasentamiento para hogares localizados en zonas de riesgo no mitigables formulados con procesos de concertación y garantía de derechos</t>
  </si>
  <si>
    <t>Entre 2020-2023 se adecuara la Fase III de Laguna del Pondeja</t>
  </si>
  <si>
    <t>Obras Fase III para la recuperación de la Laguna del Pondaje, terminadas</t>
  </si>
  <si>
    <t>En el periodo 2020-2022 se construyen y/o compran 2011 Viviendas de Interés prioritario para el reasentamiento de hogares del proyecto del Plan Jarillón de Cali</t>
  </si>
  <si>
    <t>Viviendas de interés prioritario construidas y/o compradas para el reasentamiento de hogares del proyecto Plan Jarillón de Cali</t>
  </si>
  <si>
    <t>En el periodo 2020-2022 se realizan obras de reforzamiento en 13,0 kilómetros del Jarillón del Río Cauca</t>
  </si>
  <si>
    <t>Obras de reforzamiento del Jarillón de Río Cauca</t>
  </si>
  <si>
    <t>En el cuatrenio 2020-2023, se implementara el Centro de Monitoreo y Gestión Integrado de Alertas Tempranas</t>
  </si>
  <si>
    <t>Centro de Monitoreo y Gestión Integrado de Alertas Tempranas, implementado en EMCALI</t>
  </si>
  <si>
    <t>En el año 2021 se elaborará el Plan de gestión social para el proyecto Plan Jarillón del Río Cauca y obras complementarias</t>
  </si>
  <si>
    <t>Plan de gestión social para el proyecto Plan Jarillón del Río Cauca y obras complementarias, implementado</t>
  </si>
  <si>
    <t>5305003
Manejo del Desastre</t>
  </si>
  <si>
    <t>En el período 2020-2023 se articulan y fortalecen los 4 Equipos de Primera Respuesta del Consejo Municipal de Gestión del Riesgo</t>
  </si>
  <si>
    <t>Equipos de Primera Respuesta del Consejo Municipal de Gestión del Riesgo, articulados y fortalecidos</t>
  </si>
  <si>
    <t>En el período 2020-2023 se mantiene actualizada la Estrategia de Respuesta a Emergencias</t>
  </si>
  <si>
    <t>Estrategia de Respuesta a Emergencias, actualizada</t>
  </si>
  <si>
    <t>En el periodo 2020-2023 se integra el Sistema de Alertas Tempranas  bajo Arquitectura Empresarial</t>
  </si>
  <si>
    <t>Sistema de Alertas Tempranas Integrado bajo arquitectura empresarial</t>
  </si>
  <si>
    <t>V1= Estudios y compra predio  Eca 1
V2= Construcción y dotación Eca 1 + Estudios Eca 2
V3= Compra Predio  y construcción Eca 2 + Puesta en operación Eca 1
V4= Dotación y puesta en marcha Eca 2</t>
  </si>
  <si>
    <t>V1 = Número de directorios verdes</t>
  </si>
  <si>
    <t>V1: Vehículos eléctricos en el Distrito adquiridos</t>
  </si>
  <si>
    <t>V1= longitud de vias mantenidas y/o rehabilitadas eco sostenible</t>
  </si>
  <si>
    <t>V1= Zonas de Estacionamiento Regulado implementadas</t>
  </si>
  <si>
    <t>V1=Hogares con planes de reasentamiento</t>
  </si>
  <si>
    <t>V1= Número Etapas Ejecutadas
V2= Número Etapas Proyectadas</t>
  </si>
  <si>
    <t>5401
Transición hacia Distrito Especial</t>
  </si>
  <si>
    <t>5401001
Implementación de Cali Distrito</t>
  </si>
  <si>
    <t>Durante el periodo 2020-2023, se elaboran 5 documentos de rediseño institucional acorde a la categoría Cali Distrito Especial en la Alcaldía de Santiago de Cali.</t>
  </si>
  <si>
    <t>Documentos técnicos de rediseño institucional acorde con la categoría Cali Distrito Especial, elaborados</t>
  </si>
  <si>
    <t>A diciembre de 2020 se revisa y adopta el modelo de división político administrativo del Distrito Especial de Santiago de Cali en localidades</t>
  </si>
  <si>
    <t>Modelo de división políticoadministrativa del Distrito Especial revisado y adoptado</t>
  </si>
  <si>
    <t xml:space="preserve">En el período 2020-2023 se actualiza en un 50% la información de Bienes Inmuebles propiedad del Distrito  </t>
  </si>
  <si>
    <t>Inventario de Bienes Inmuebles actualizado</t>
  </si>
  <si>
    <t>Durante el periodo de 2021-2023 se elabora la formulación de 6 y la divulgación de 4 de los instrumentos de planificación complementaria del Plan Ordenamiento Territorial</t>
  </si>
  <si>
    <t>Instrumentos de planificación complementaria del plan de ordenamiento territorial, formulados y divulgados</t>
  </si>
  <si>
    <t>Durante el periodo de 2020-2021 se elaboran 5 documentos para la revisión y ajuste del Plan de Ordenamiento Territorial</t>
  </si>
  <si>
    <t>Documentos de revisión y ajuste del POT elaborados</t>
  </si>
  <si>
    <t>Durante el periodo de 2020-2021 se formulan (2) y adoptan (11) las unidades de planificación urbana y rural</t>
  </si>
  <si>
    <t>Unidades de planificación urbana y rural formuladas y adoptadas</t>
  </si>
  <si>
    <t>Durante el perioro 2020 a 2023 se elaboran 4 estudios complementarios del Plan de Ordenamiento Territorial</t>
  </si>
  <si>
    <t>Estudios complementarios del Plan de Ordenamiento Territorial elaborados</t>
  </si>
  <si>
    <t>En el 2022, se elabora un estudio para la estructuración y creación de autoridad ambiental distrital</t>
  </si>
  <si>
    <t>Estudio para la estructuración y creación de autoridad ambiental distrital, elaborado</t>
  </si>
  <si>
    <t>En el período 2020 - 2021, se ajusta y adopta el Sistema Distrital de Planeación</t>
  </si>
  <si>
    <t>Sistema Distrital de Planeación, ajustado y adoptado</t>
  </si>
  <si>
    <t xml:space="preserve">A diciembre 2023, se certifica el 100% de las competencias distritales en salud </t>
  </si>
  <si>
    <t>Competencias Distritales en salud certificadas</t>
  </si>
  <si>
    <t>En 2022, se formula el plan prospectivo de Cali como Distrito Especial</t>
  </si>
  <si>
    <t>Formular plan prospectivo de Cali como Distrito Especial</t>
  </si>
  <si>
    <t>En el periodo 2020-2023 se realizan 25 semilleros itinerantes de Desarrollo Territorial Participativo</t>
  </si>
  <si>
    <t>Semilleros itinerantes de Desarrollo Distrital participativo, realizados</t>
  </si>
  <si>
    <t>5401002
Cooperación Técnica para el Desarrollo Distrital</t>
  </si>
  <si>
    <t>En el período 2020-2023 se implementa un modelo de agencia de cooperación técnica</t>
  </si>
  <si>
    <t>Modelo de Agencia de Cooperación Técnica implementada</t>
  </si>
  <si>
    <t>En el periodo 2020-2023 se proponen 10 proyectos de Cooperación Financiera y/o Técnica en Proyectos de Interés de la Administración Pública</t>
  </si>
  <si>
    <t>Proyectos Propuestos de Cooperación Financiera y/o Técnica en Proyectos de Interés de la Administración Pública</t>
  </si>
  <si>
    <t>En el periodo 2020-2023 se realizan 3 Alianzas, coordinaciones y/o esquemas asociativos suscritos</t>
  </si>
  <si>
    <t>Alianzas, y/o coordinaciones suscritos</t>
  </si>
  <si>
    <t>En 2021 se elabora 1 estudio complementario para la implementación de la Autoridad Regional de Transporte</t>
  </si>
  <si>
    <t>Estudio complementario para la implementación de la autoridad regional de transporte – ART y ente gestor del tren de cercanías, elaborados</t>
  </si>
  <si>
    <t>5402
Gobierno Inteligente</t>
  </si>
  <si>
    <t>5402001
Fortalecimiento Institucional</t>
  </si>
  <si>
    <t>En el periodo 2020-2023 se implementa un modelo de laboratorio, diseñado con organismos, academia y sociedad civil</t>
  </si>
  <si>
    <t>Modelo de laboratorio, diseñado con organismos, academia y sociedad civil</t>
  </si>
  <si>
    <t>En el periodo 2020-2023 se realizan 5 Iniciativas cocreadas frente a problemáticas priorizadas</t>
  </si>
  <si>
    <t>Iniciativas frente a problemáticas priorizadas, co-creadas</t>
  </si>
  <si>
    <t>En el periodo 2020-2023 se realizan 5 iniciativas colaborativas para realizar seguimiento a problemas específicos</t>
  </si>
  <si>
    <t>Iniciativas colaborativas para seguimiento a problemas específicos, realizadas</t>
  </si>
  <si>
    <t>Durante el periodo 2020-2023, se actualizan 4 instrumentos de gestión y control en la Alcaldía de Santiago de Cali.</t>
  </si>
  <si>
    <t>Instrumentos de gestión y control actualizados</t>
  </si>
  <si>
    <t>En el periodo 2020 - 2023 se implementa el servicio del deporte y la recreación bajo le modelo integrado de planeación y gestión</t>
  </si>
  <si>
    <t>Servicio del deporte, recreación y actividad física ejecutado bajo las políticas institucionales vigentes</t>
  </si>
  <si>
    <t>En el período 2020-2023 se implementa el proceso de Gestión Cultural, bajo las políticas institucionales vigentes</t>
  </si>
  <si>
    <t>Implementación del proceso de Gestión Cultural, bajo las políticas institucionales vigentes</t>
  </si>
  <si>
    <t>En el periodo 2020-2023 se mejoran  en 46.7 % los Procesos institucionales de la secretaria de Seguridad y Justicia, conforme a los requerimientos de las políticas institucionales vigentes</t>
  </si>
  <si>
    <t>Procesos institucionales de la secretaria de Seguridad y Justicia mejorados, conforme a los requerimientos de las políticas institucionales vigentes</t>
  </si>
  <si>
    <t xml:space="preserve"> En el periodo 2020 - 2023, se mejoran 10 procesos institucionales de la autoridad ambiental, conforme a los requerimientos de las políticas institucionales y administrativas vigentes</t>
  </si>
  <si>
    <t>Procesos institucionales de la autoridad ambiental, conforme a los requerimientos de las políticas institucionales y administrativas vigentes mejorados</t>
  </si>
  <si>
    <t>Durante el periodo 2021-2023, se capacitan según plan de formación a 2.287 servidores públicos del Distrito de Santiago de Cali.</t>
  </si>
  <si>
    <t>Servidores públicos, capacitados según plan de formación</t>
  </si>
  <si>
    <t>En el período 2020 -2023, se sensibilizarán y hará seguimiento a 1600 Servidores públicos y contratistas para fomentar la cultura del Autocontrol.</t>
  </si>
  <si>
    <t>Servidores públicos sensibilizados en el fomento de la cultura del autocontrol</t>
  </si>
  <si>
    <t>Durante el periodo 2020-2023, se interviene y mide el Clima y la cultura organizacional de la Alcaldía de Santiago de Cali</t>
  </si>
  <si>
    <t>Clima y la cultura organizacional, intervenido y medido,</t>
  </si>
  <si>
    <t>Durante el periodo 2020-2023, se implementan 4 fases del sistema de información para la Gestión del Conocimiento  en los 39 procesos de la Alcaldía de Santiago de Cali</t>
  </si>
  <si>
    <t>Fases del sistema de información, para la Gestión del Conocimiento en los 39 Procesos de la entidad, implementadas</t>
  </si>
  <si>
    <t xml:space="preserve">En el periodo 2020-2023 se orientan a 10616 servidores públicos de la Administración Central y ciudadanos del Municipio de Santiago de Cali en Código Disciplinario </t>
  </si>
  <si>
    <t>Servidores públicos y ciudadanos orientados en Código Disciplinario</t>
  </si>
  <si>
    <t>En el período 2020-2023 se pasa de 400 a 1.100 personas formadas de la administración pública en temas de perspectiva de género y enfoque diferencial.</t>
  </si>
  <si>
    <t>Personal de la Administración Pública con formación en perspectiva de género y enfoque diferencial</t>
  </si>
  <si>
    <t>Durante el periodo 2021-2023, se elaboran 35 diseños de puestos de trabajo personalizados para funcionarios en condición de discapacidad en la Alcaldía de Santiago de Cali</t>
  </si>
  <si>
    <t>Diseños de puestos de trabajo personalizados para funcionarios en condición de discapacidad elaborados</t>
  </si>
  <si>
    <t>En el período 2020 - 2023 se modifican 300 puestos de trabajo en Edificaciones de propiedad del Distrito de Santiago de Cali</t>
  </si>
  <si>
    <t>Puestos de trabajo modificados</t>
  </si>
  <si>
    <t>Durante el periodo 2020-2023, se estandariza el 50% de los niveles de modelación de los procesos de la Entidad bajo Arquitectura Empresarial (AE) en la Alcaldía de Santiago de Cali</t>
  </si>
  <si>
    <t>Niveles de modelación de los procesos de la Entidad bajo Arquitectura Empresarial (AE) estandarizados</t>
  </si>
  <si>
    <t>A 2023 se han modelado el 100% de los procedimientos de DATIC bajo BPM</t>
  </si>
  <si>
    <t>Procedimientos de DATIC modelados bajo BPM</t>
  </si>
  <si>
    <t>A 2023 se ha implementado el 50% de capacidades de Arquitectura empresarial en TI</t>
  </si>
  <si>
    <t>Capacidades de Arquitectura Empresarial en TI, implementado</t>
  </si>
  <si>
    <t>Durante el periodo 2020-2023, se cuenta con la formulación de 2 instrumentos de Arquitectura Empresarial de Planeación y Misionalidad en la Alcaldía de Santiago de Cali</t>
  </si>
  <si>
    <t>Instrumentos de Arquitectura Empresarial de Planeación y Misionalidad de la Entidad, formulados</t>
  </si>
  <si>
    <t>En el periodo 2020-2023 se implementa el modelo del sistema de compra publica responsable en el Municipio de Santiago de Cali.</t>
  </si>
  <si>
    <t>Modelo del sistema de compra pública responsable</t>
  </si>
  <si>
    <t>A 2023 se ha implementado el 100% del Modelo Integrado de Planeación y Gestión en DATIC</t>
  </si>
  <si>
    <t>Modelo Integrado de Planeación y Gestión implementado en DATIC</t>
  </si>
  <si>
    <t>Durante el periodo 2020-2023, se implementa el Modelo de Seguridad y Privacidad de la Información  en la Alcaldía de Santiago de Cali</t>
  </si>
  <si>
    <t>Fases del sistema de Seguridad y Privacidad de la Información, documentadas</t>
  </si>
  <si>
    <t>Durante el periodo 2021-2023, se diseña un Modelo de Teletrabajo en la Alcaldía de Santiago de Cali.</t>
  </si>
  <si>
    <t>Modelo de Teletrabajo, diseñado</t>
  </si>
  <si>
    <t>Durante el periodo 2020-2023, se actualiza en un 100% el Sistema de Gestion de Calidad de la entidad, bajo la norma NTC ISO 9001:2015 en la Alcaldía de Santiago de Cali.</t>
  </si>
  <si>
    <t>Sistema de Gestión de Calidad de la entidad, bajo la norma NTC ISO 9001:2015, actualizado</t>
  </si>
  <si>
    <t>En el periodo 2020-2023 se certifican 4 líneas de servicios del Proceso Desarrollo Económico bajo la ISO 9001:2015</t>
  </si>
  <si>
    <t>Líneas de servicios del Proceso Desarrollo Económico certificadas bajo la ISO 9001:2015</t>
  </si>
  <si>
    <t>En el periodo 2020-2023 el Proceso Servicios Públicos cuenta con la certificación de cuatro (4) líneas de servicios dcertificadas bajo la norma ISO 9001:2015</t>
  </si>
  <si>
    <t>Líneas de servicios del Proceso Servicios Públicos certificadas bajo la ISO 9001:2015</t>
  </si>
  <si>
    <t>En el periodo 2020-2023 se mantiene en un 100% la certificación del proceso de particiación ciudadana y gestión comunitaria del organismo</t>
  </si>
  <si>
    <t>Proceso de participación ciudadana y gestión comunitaria certificado</t>
  </si>
  <si>
    <t>En el período 2021-2023 se certifican 4 bibliotecas Públicas del proceso de Gestión Cultural bajo la norma Técnica de Gestión de Calidad ISO 9001:2015</t>
  </si>
  <si>
    <t>Bibliotecas Públicas del proceso de Gestión Cultural certificadas bajo la norma Técnica de Gestión de Calidad ISO 9001:2015</t>
  </si>
  <si>
    <t>En el período 2021-2023 se certifica una (1)  línea de servicio del proceso de Gestión de Paz y Cultura Ciudadana.</t>
  </si>
  <si>
    <t>Líneas de servicios certificadas del proceso Gestión de Paz y Cultura Ciudadana bajo la norma técnica de gestión de Calidad ISO 9001:2015</t>
  </si>
  <si>
    <t>En el periodo 2022-2023 se certifican 2 lineas del servicio del organismo</t>
  </si>
  <si>
    <t>Líneas del servicio del organismo certificadas bajo la NTC ISO 90012015</t>
  </si>
  <si>
    <t>En el periodo 2021-2023  se certifican bajo la iso 9001:2015 2 lineas de servicio</t>
  </si>
  <si>
    <t>Proceso servicio de vivienda social certificado bajo la ISO 9001:2015</t>
  </si>
  <si>
    <t>Durante el periodo 2020-2023, se elaboran y/o actualizan 7 instrumentos de Servicio al Ciudadano en la Alcaldía de Santiago de Cali.</t>
  </si>
  <si>
    <t>Instrumentos de servicio al ciudadano actualizados</t>
  </si>
  <si>
    <t>Durante el periodo 2020-2023, se implementan 100 Acciones de racionalización de trámites y servicios en la Alcaldía de Santiago de Cali</t>
  </si>
  <si>
    <t>Acciones de racionalización de trámites y servicios implementadas</t>
  </si>
  <si>
    <t>En el período 2020 - 2023 se mantienen en condiciones óptimas 4 Edificaciones de propiedad del Distrito de Santiago de Cali</t>
  </si>
  <si>
    <t>Edificaciones de propiedad del Distrito, mantenidas</t>
  </si>
  <si>
    <t>En el período 2020 - 2021 se actualiza el 100% del Inventario de Bienes Muebles del Distrito</t>
  </si>
  <si>
    <t>Inventario de Bienes Muebles del Distrito, actualizados</t>
  </si>
  <si>
    <t>En el período 2020 - 2023 se fortalece en un 6% el Plan Estratégico de Seguridad Víal en el Distrito</t>
  </si>
  <si>
    <t>Plan Estratégico de Seguridad vial fortalecido</t>
  </si>
  <si>
    <t>Durante el periodo 2020-2023, se digitalizan 15.300.560 imágenes de documentación con organización archivística en la Alcaldía de Santiago de Cali.</t>
  </si>
  <si>
    <t>Imágenes digitalizadas de documentación con organización archivística</t>
  </si>
  <si>
    <t>En el período 2020-2023, se sistematizan y organizan 11.400 expedientes del inventario de gestión documental de la Secretaría de Vivienda Social y Hábitat</t>
  </si>
  <si>
    <t>Sistema de Gestión Documental de la Secretaría de Vivienda Social y Hábitat con expedientes sistematizados y organizados</t>
  </si>
  <si>
    <t>Durante el periodo 2020-2023, se adquiere y adecua el Archivo general de Santiago de Cali</t>
  </si>
  <si>
    <t>Archivo Distrital de Alcaldía y Concejo de Santiago de Cali, adecuado</t>
  </si>
  <si>
    <t xml:space="preserve">En el periodo 2020-2023  se terminan 1.100  expedientes activos de los procesos disciplinarios  de vigencias anteriores </t>
  </si>
  <si>
    <t>Expedientes activos de los procesos disciplinarios de vigencias anteriores terminados</t>
  </si>
  <si>
    <t>En el periodo 2020-2023, se opera en un 100% el Modelo de Prevención del Daño Antijurídico</t>
  </si>
  <si>
    <t>Modelo de prevención del Daño Antijurídico operando</t>
  </si>
  <si>
    <t>En el periodo 2021-2023 se implementa el Modelo Integrado de Planeación y Gestión</t>
  </si>
  <si>
    <t>Proceso de gestión de tránsito y transporte implementado bajo las políticas institucionales vigentes</t>
  </si>
  <si>
    <t>En el periodo 2020-2023 se realiza una red de gestión de información y del conocimiento diseñado y operado</t>
  </si>
  <si>
    <t>Red de gestión de información y del conocimiento diseñado y operado</t>
  </si>
  <si>
    <t>En el periodo 2020-2023 se diseña y se pone en operación una Red de Gestión de Información y del conocimiento.</t>
  </si>
  <si>
    <t>Red de gestión de información y del conocimiento diseñado y operado al interior del organismo</t>
  </si>
  <si>
    <t>Durante el periodo 2021-2023, se normaliza el pasivo pensional de 2.972.108 a 2.853.223 lo que significaria una disminución de 118.885 en la Alcaldía de Santiago de Cali.</t>
  </si>
  <si>
    <t>Pasivo pensional normalizado</t>
  </si>
  <si>
    <t>5402002
Gestión de Información Estadística y Geográfica para la Evaluación de Resultados</t>
  </si>
  <si>
    <t>En el período 2020 - 2021, se difunden los 37 Planes de Desarrollo Territoriales y el Plan de Desarrollo Distrital</t>
  </si>
  <si>
    <t>Planes de Desarrollo divulgados</t>
  </si>
  <si>
    <t>En el período 2020 - 2023, se realiza el seguimiento y evaluación a los 37 Planes de Desarrollo Territoriales y al Plan de Desarrollo Distrital</t>
  </si>
  <si>
    <t>Planes de Desarrollo de nivel territorial y distrital con seguimiento y evaluación</t>
  </si>
  <si>
    <t>En el período 2021 - 2023, se evalúan 3 políticas públicas</t>
  </si>
  <si>
    <t>Políticas públicas, evaluadas</t>
  </si>
  <si>
    <t>En el periodo 2020 -2023 se atiende al menos el 95 por ciento de las solicitudes de encuestas recibidas</t>
  </si>
  <si>
    <t>Solicitudes de encuesta Sisbén, atendidas</t>
  </si>
  <si>
    <t>En el período 2020 - 2023, se aumenta en 32 las OO.EE en el archivo municipal de datos AMDA</t>
  </si>
  <si>
    <t>Archivo Municipal de Datos, actualizado</t>
  </si>
  <si>
    <t>En el período 2020 - 2023, se mantiene actualizado en 100% el Sistema de Indicadores Sociales</t>
  </si>
  <si>
    <t>Sistema de Indicadores Sociales actualizado</t>
  </si>
  <si>
    <t>En el período 2020- 2023, se publican anualmente al menos tres documentos con estadísticas básicas en el Municipio</t>
  </si>
  <si>
    <t>Documentos con estadísticas básicas del Distrito, publicados</t>
  </si>
  <si>
    <t>En el período 2020 - 2023, se mantiene actualizada en 100% la Base de datos de estratificación</t>
  </si>
  <si>
    <t>Base de datos de Estratificación urbana y rural actualizada</t>
  </si>
  <si>
    <t>En el periodo 2020-2023 se mantiene actualizada en 100% la Nomenclatura de Santiago de Cali</t>
  </si>
  <si>
    <t>Registros de la base de datos de Nomenclatura de Cali actualizados</t>
  </si>
  <si>
    <t>A diciembre de 2023 hay disponible 300 Servicios Web Geográficos y 200 Productos de Información Geográfica en la plataforma tecnológica de la Infraestructura de Datos Espaciales de Santiago de Cali – IDESC</t>
  </si>
  <si>
    <t>Servicios Web Geográficos y productos de información geográfica en la plataforma tecnológica de la Infraestructura de Datos Espaciales de Santiago de Cali – IDESC disponibles</t>
  </si>
  <si>
    <t>En el periodo 2020-2023 se opera el sistema de Información geográfico para el Turismo</t>
  </si>
  <si>
    <t>Sistema de Información geográfico para el Turismo, operando</t>
  </si>
  <si>
    <t>En el periodo 2020-2023 se elaboran 8 estudios del sector turístico por el observatorio turistico</t>
  </si>
  <si>
    <t>Estudios del sector turismo, realizados</t>
  </si>
  <si>
    <t>En 2022 se aplica encuesta multipropósito de empleo y calidad de vida para Cali</t>
  </si>
  <si>
    <t>Encuesta multipropósito de empleo (formal e informal) y calidad de vida para Cali, aplicada</t>
  </si>
  <si>
    <t>Investigaciones sobre economía creativa, circular, digital y demás temas conexos al desarrollo del territorio, generadas y publicadas</t>
  </si>
  <si>
    <t>En el periodo 2020 - 2023, se actualiza y opera el Observatorio Ambiental, como un instrumento de reporte, seguimiento y generación de conocimiento para la gestión ambiental.</t>
  </si>
  <si>
    <t>Observatorio Ambiental, como un instrumento de reporte, seguimiento y generación de conocimiento para la gestión ambiental, actualizado y operando</t>
  </si>
  <si>
    <t>En el periodo 2020-2023 se realiza monitoreo y seguimiento a políticas públicas sociales.</t>
  </si>
  <si>
    <t>Políticas Públicas sociales con monitoreo y seguimiento</t>
  </si>
  <si>
    <t>En el periodo 2020 - 2023 se realizan 4 investigaciones del sector a través del observatorio del deporte y la recreación</t>
  </si>
  <si>
    <t>Investigaciones del sector deporte realizadas en la visión Cali 2036</t>
  </si>
  <si>
    <t>En el periodo 2020-2023 se realizan 4 Investigaciones de la Dinámica Inmobiliaria</t>
  </si>
  <si>
    <t>Investigaciones de la dinámica Inmobiliaria realizadas</t>
  </si>
  <si>
    <t>En el periodo 2020-2023 se realizan 8 investigaciones en el marco del Observatorio vigilancia de la conducta oficial en temas de conducta del servidor público</t>
  </si>
  <si>
    <t>Investigaciones de la conducta oficial del servidor público, realizadas</t>
  </si>
  <si>
    <t xml:space="preserve">En el período 2020-2023 el observatorio de seguridad produce 12 investigaciones sobre los fenómenos que afectan la seguridad ciudadana y la convivencia </t>
  </si>
  <si>
    <t>Investigaciones producidas por el observatorio de seguridad</t>
  </si>
  <si>
    <t xml:space="preserve"> En el periodo 2020-2023 opera el Observatorio de Hacienda Publica Distrital</t>
  </si>
  <si>
    <t>Observatorio de Hacienda Pública Distrital operando</t>
  </si>
  <si>
    <t>En el2021, se estructura e implementa un Sistema de Información Geográfico -SIG para el manejo de  Sustancias Químicas y Residuos Peligrosos en el marco del COTSA, bajo el modelo de arquitectura empresarial.</t>
  </si>
  <si>
    <t>Sistema de Información Geográfico -SIG para el manejo de Sustancias Químicas y Residuos Peligrosos en el marco del COTSA, bajo el modelo de arquitectura empresarial, estructurado y en implementación</t>
  </si>
  <si>
    <t>En el periodo 2022-2023 se elaboran 10 estudios de mercado por clústeres, existentes en el municipio de Santiago de Cali</t>
  </si>
  <si>
    <t>Inteligencia de mercados -estudio de mercado por clústeres, existentes en el municipio de Santiago de Cali, elaborado</t>
  </si>
  <si>
    <t xml:space="preserve"> En el período 2021-2023 se realizan 3 Investigaciones cuantitativas y cualitativas en temas de paz, cultura ciudadana, respeto por la casa común y otros seres sintientes, derechos humanos y acuerdo de paz</t>
  </si>
  <si>
    <t>Investigaciones cuantitativa y cualitativa en temas de paz, cultura ciudadana, respeto por la casa común y otros seres sintientes, derechos humanos y acuerdo de paz realizadas</t>
  </si>
  <si>
    <t>En el periodo 2020-2023, se estructuraran 9 estudios de factibilidad de proyectos estrategicos del plan de desarrollo.</t>
  </si>
  <si>
    <t>Estudios de preinversión de proyectos estratégicos del plan de desarrollo elaborados</t>
  </si>
  <si>
    <t>5402003
Sistema de la Información y la Infraestructura Tecnológica</t>
  </si>
  <si>
    <t>En el periodo 2021-2023 se implementado el modelo de Big Data a 3 conjuntos de datos.</t>
  </si>
  <si>
    <t>Conjunto de datos con Modelo de Big Data implementado</t>
  </si>
  <si>
    <t>A 2023 se ha unificado un datacenter en la Alcaldia de Santiago de Cali</t>
  </si>
  <si>
    <t>Datacenter del Distrito Especial, unificado</t>
  </si>
  <si>
    <t>En el periodo 2020-2023 se implementa una herramiento virtual para la promoción de la participación ciudadana</t>
  </si>
  <si>
    <t>Herramienta virtual para la promoción de la participación ciudadana implementada</t>
  </si>
  <si>
    <t>A 2023 se ha formulado un (1) Modelo de inteligencia artificial</t>
  </si>
  <si>
    <t>Modelo de inteligencia artificial formulado</t>
  </si>
  <si>
    <t>A 2023 se ha implementado el 41% del Sistema de seguridad de la información</t>
  </si>
  <si>
    <t>Sistema de seguridad informática Implementado</t>
  </si>
  <si>
    <t>En el periodo 2020-2023 se mantiene el 100% de los puntos de atención con cultura del servicios orientado al ciudadano operando</t>
  </si>
  <si>
    <t>Puntos de atención con cultura del servicio orientado al ciudadano, operando</t>
  </si>
  <si>
    <t>En el periodo 2020-2023, el 20% de los procesos de la Secretaría de Educación de Santiago de Cali se encuentran automatizados en un sistema</t>
  </si>
  <si>
    <t>Sistema para la automatización de procesos del sector educativo, diseñado e implementado</t>
  </si>
  <si>
    <t xml:space="preserve">En el periodo 2020-2023, se implementa en un 100% el Modelo predictivo de fallos contra la entidad </t>
  </si>
  <si>
    <t>Modelo predictivo de fallos judiciales contra la entidad, implementado</t>
  </si>
  <si>
    <t>En el periodo 2020 - 2023 funciona 1 Centro de Gestión del Conocimiento y la Innovación en materia de seguridad y justicia.</t>
  </si>
  <si>
    <t>Centro de Gestión del Conocimiento y la Innovación en materia de seguridad y justicia funcionando</t>
  </si>
  <si>
    <t>A 2023 se ha renovado el 71% de la infraestructura de TI de la Alcaldía de Cali</t>
  </si>
  <si>
    <t>Infraestructura de TI de la Alcaldía y el Concejo Distrital, renovada</t>
  </si>
  <si>
    <t>A 2023 se ha implementado el 50% del Modelo de Arquitectura Empresarial del dominio de sistemas de información e infraestructura tecnologíca de la entidad</t>
  </si>
  <si>
    <t>Modelo de Arquitectura Empresarial del dominio de sistemas de información e infraestructura tecnológica de la entidad implementado</t>
  </si>
  <si>
    <t>A 2023 el 3,5% de los Sistemas de información activos de la entidad se encuentran interoperando</t>
  </si>
  <si>
    <t>Sistemas de información activos integrados e interoperando</t>
  </si>
  <si>
    <t>A 2023 el 10% de los Sistemas de Información de la entidad han sido modernizados</t>
  </si>
  <si>
    <t>Sistemas de Información de la entidad modernizados</t>
  </si>
  <si>
    <t>A 2023 existen 41 Trámites y servicios automatizados</t>
  </si>
  <si>
    <t>Trámites y servicios, automatizados</t>
  </si>
  <si>
    <t>En el periodo 2020-2023, se implementa en el 100% Instituciones Educativas Oficiales un sistema de matrícula en línea vía web</t>
  </si>
  <si>
    <t>Sistema de matrícula en línea vía web diseñado e implementado para las 92 Instituciones Educativas Oficiales</t>
  </si>
  <si>
    <t>A diciembre de 2023 se implementa un 75% de la Planoteca Digital de Planeación de una base de 22.500 planos inventariados</t>
  </si>
  <si>
    <t>Planoteca Digital del DAP actualizada</t>
  </si>
  <si>
    <t>A diciembre de 2023 se materializan 100 referentes físicos de la Red de Control Geodésico de Santiago de Cali</t>
  </si>
  <si>
    <t>Referentes físicos de la Red de Control Geodésico de Santiago de Cali materializados</t>
  </si>
  <si>
    <t>En el período 2021-2023 se implementa el sistema de información cultural y de gestión del patrimonio</t>
  </si>
  <si>
    <t>Sistema de información cultural y de gestión del patrimonio, operando</t>
  </si>
  <si>
    <t>A diciembre de 2023 se implentara un sistema de informacion de control urbanistico</t>
  </si>
  <si>
    <t>Sistema de información de control urbanístico implementado y mantenido</t>
  </si>
  <si>
    <t>En el periodo 2020 - 2023 se implementa un (1) sistema interactivo de reporte de quejas en línea de construcciones, antenas irreglamentarias y obras para el control del ordenamiento urbanístico en Cali</t>
  </si>
  <si>
    <t>Sistema interactivo de reporte de quejas en línea de construcciones, antenas irreglamentarias y obras, implementado</t>
  </si>
  <si>
    <t>5402004
Gestión Financiera Eficiente</t>
  </si>
  <si>
    <t>En el periodo 2020-2023 se recuperan $800.282 millones de recursos de vigencias anteriores en proceso de cobro persuasivo y coactivo</t>
  </si>
  <si>
    <t>Recursos de vigencias anteriores en proceso de cobro persuasivo y coactivo recuperados</t>
  </si>
  <si>
    <t>A 2023 se  recaudan $5.122.917 millones correspondientes a los Ingresos de la vigencia actual de Impuesto Predial Unificado e Impuesto de Industria y Comercio y otros acumulados de las vigencias fiscales hasta el 2020.</t>
  </si>
  <si>
    <t>Ingresos de la vigencia actual de Impuesto Predial Unificado e Impuesto de Industria y Comercio y otros recaudados</t>
  </si>
  <si>
    <t xml:space="preserve"> En el periodo 2020-2023 se mejora  el nivel de cumplimiento de las obligaciones trubutarias del 72.5 al 80% de los contribuyentes del impuesto predial unificado, industria y comercio y otros</t>
  </si>
  <si>
    <t>Sostenibilidad de los niveles de cumplimiento de las obligaciones tributarias de Impuesto Predial Unificado e ICA en Santiago de Cali y otros</t>
  </si>
  <si>
    <t>En el periodo 2021-2022 se  realiza el Censo tributario en todas las comunas y corregimientos de Cali. En la vigencia fiscal 2021 se efectua el Censo Tributario Urbano y en el  año 2022 el Censo Tributario Rural.</t>
  </si>
  <si>
    <t>Censo Tributario realizado</t>
  </si>
  <si>
    <t>En 2021 se actualiza el 100% de los predios rurales</t>
  </si>
  <si>
    <t>Actualización Catastral Rural</t>
  </si>
  <si>
    <t xml:space="preserve"> En el periodo 2020-2023 se actualizan 429.055 predios por Conservaciòn Catastral. </t>
  </si>
  <si>
    <t>Predios actualizados por Conservación Catastral</t>
  </si>
  <si>
    <t>En el periodo 2020-2023 se implementa el software del  Sistema de Informaciòn  Catastral.</t>
  </si>
  <si>
    <t>Software del sistema de Información Catastral Implementado</t>
  </si>
  <si>
    <t xml:space="preserve">En el periodo 2020-2023 se  implementa el Catastro Multipropósito. </t>
  </si>
  <si>
    <t>Catastro Multipropósito Implementado</t>
  </si>
  <si>
    <t>En el periodo 2020-2023 se recupera el 10% de la cartera morosa de infracciones de transito</t>
  </si>
  <si>
    <t>Cartera morosa por infracciones de tránsito, recuperada</t>
  </si>
  <si>
    <t xml:space="preserve">En el periodo 2020 - 2023, se formula e implementa el proyecto de acuerdo municipal con incentivos tributarios para los hogares, negocios, inversionistas y desarrolladores del área de renovación urbana adoptado.  </t>
  </si>
  <si>
    <t>Proyecto de acuerdo municipal con incentivos tributarios para los hogares, negocios, inversionistas y desarrolladores del área de renovación urbana, formulado</t>
  </si>
  <si>
    <t>En el periodo 2020- 2023, se recupera cartera por $3298 millones de pesos, por creditos de vivienda VIP - VIS</t>
  </si>
  <si>
    <t>Cartera por crédito de vivienda VIP – VIS, recuperado</t>
  </si>
  <si>
    <t>5403
Ciudadanía Activa y Gobernanza</t>
  </si>
  <si>
    <t>5403001
Ciudadanía Empoderada</t>
  </si>
  <si>
    <t>En el periodo 2020-2023 se pone en funcionamiento el Sistema de Participación ciudadana</t>
  </si>
  <si>
    <t>Sistema de participación ciudadana, funcionando</t>
  </si>
  <si>
    <t>En el periodo 2020- 2023 40.000 personas pertenecientes a grupos de valor estaran fortelecidas en capacidades comunitarias</t>
  </si>
  <si>
    <t>Personas pertenecientes a grupos de valor con capacidades comunitarias fortalecidas</t>
  </si>
  <si>
    <t>En el periodo 2021-2023 se implementan 100 iniciativas lúdicas, académicas y comunitarias para la promoción de la participación ciudadana</t>
  </si>
  <si>
    <t>Iniciativas comunitarias para la promoción de la participación ciudadana, implementadas</t>
  </si>
  <si>
    <t>En el 2023 se formulan 37 planes de desarrollo de nivel territorial.</t>
  </si>
  <si>
    <t>Planes de desarrollo a nivel territorial, formulados</t>
  </si>
  <si>
    <t>En el periodo 2020-2023 se inspeccióna, vigila y controla en el cumplimiento de la norma comunal al 100% de los organismos comunales del territorio.</t>
  </si>
  <si>
    <t>Organismos comunales en el territorio Inspeccionados, Vigilados y Controlados en cumplimiento de la norma comunal</t>
  </si>
  <si>
    <t>En el periodo 2020-2023  la Estrategia de Resiliencia de  Santiago de Cali se encuentra funcionando en un 60%.</t>
  </si>
  <si>
    <t>Estrategia de Resiliencia en Territorios de Inclusión y Oportunidades de Santiago de Cali, funcionando</t>
  </si>
  <si>
    <t xml:space="preserve">En el periodo 2021-2023 se entregan 25 estimulos a propuestas, de organizaciones sociales y comunitarias, para la Transformación de Realidades Sociales en los territorios priorizados TIO´s. </t>
  </si>
  <si>
    <t>Estímulos a propuestas, de organizaciones sociales y comunitarias, para la transformación de realidades sociales en los territorios priorizados TIO´s, entregados</t>
  </si>
  <si>
    <t>En el período 2020-2023 se promueve el funcionamiento del Sistema Municipal de Cultura de Santigo de Cali, de acuerdo con lo establecido en la normatividad vigente</t>
  </si>
  <si>
    <t>Sistema Municipal de Cultura funcionando</t>
  </si>
  <si>
    <t>En el período 2020-2023 se vinculan doscientas (200) mujeres a procesos de formación política desde la perspectiva de género y diferencial.</t>
  </si>
  <si>
    <t>Mujeres de la zona rural y urbana vinculadas a procesos de formación política desde la perspectiva de género y diferencial</t>
  </si>
  <si>
    <t>En el periodo 2020-2023 se realiza una red de agentes institucionales con un plan específico para buen gobierno, abierto a la ciudadania</t>
  </si>
  <si>
    <t>Red de agentes institucionales con un plan específico para buen gobierno, abierto a la ciudadanía; operando</t>
  </si>
  <si>
    <t>En el periodo 2020-2023 se implementan 4 estrategias de Comunicación clara y transparente.</t>
  </si>
  <si>
    <t>Estrategia de Comunicación clara y transparente, implementada</t>
  </si>
  <si>
    <t>Estrategia de fortalecimiento de las competencias para los usuarios de servicios públicos y TIC</t>
  </si>
  <si>
    <t>Durante el periodo 2020-2023, se implementan 4 Estrategias de rendición de cuentas en la Alcaldía de Santiago de Cali</t>
  </si>
  <si>
    <t>Estrategia de rendición de cuentas implementada</t>
  </si>
  <si>
    <t>5403002
Cultura Ciudadana</t>
  </si>
  <si>
    <t>En el período 2020-2023 se formula, aprueba y socializa la política pública de cultura ciudadana</t>
  </si>
  <si>
    <t>Política Pública de Cultura Ciudadana formulada, aprobada y socializada</t>
  </si>
  <si>
    <t>En el Periodo 2020-2023 se implementa en un 100% las iniciativas del Plan de Acción para  el fomento y promoción a la libertad religiosa a partir de la participación ciudadana.</t>
  </si>
  <si>
    <t>Estrategia para el fomento y promoción del derecho a la libertad religiosa y la participación ciudadana, realizada</t>
  </si>
  <si>
    <t>En el período 2020-2023 se forman a 9.300 personas en cultura ciudadana para la paz, la convivencia y reconciliación</t>
  </si>
  <si>
    <t>Personas formadas en cultura ciudadana para la paz, la convivencia y la reconciliación</t>
  </si>
  <si>
    <t>En el período 2020-2023 se apoyan 241 Iniciativas institucionales y comunitarias en cultura ciudadana y construcción de paz</t>
  </si>
  <si>
    <t>Iniciativas institucionales y comunitarias en cultura ciudadana y promoción de nuevas normalidades apoyadas</t>
  </si>
  <si>
    <t xml:space="preserve">En el período 2021-2023 se apoyan y promueven 43 colectivos Urbanos y rurales de cultura ciudadana y construcción de Paz </t>
  </si>
  <si>
    <t>Colectivos Urbanos y rurales de cultura ciudadana y construcción de Paz apoyados y promovidos</t>
  </si>
  <si>
    <t>En el período 2021-2023 se implementan 12 Iniciativas institucionales de promoción a la caleñidad</t>
  </si>
  <si>
    <t>Iniciativas institucionales de promoción a la caleñidad implementadas</t>
  </si>
  <si>
    <t>En el período 2020-2023 se realizan 35 encuentros ciudadanos de sensibilización en temas de cultura ciudadana</t>
  </si>
  <si>
    <t>Encuentros ciudadanos de sensibilización en temas de cultura ciudadana realizados</t>
  </si>
  <si>
    <t>A 2023 contar con una política pública integral de libertad religiosa en Santiago de Cali que se encuentre formulada y adoptada por la Administración distrital</t>
  </si>
  <si>
    <t>Política pública integral de libertad religiosa, formulada y adoptada</t>
  </si>
  <si>
    <t>En el periodo 2020-2023 se publican 8 estudios de investigación, sobre Economía Creativa, Circular y Digital</t>
  </si>
  <si>
    <t>Cali, Gobierno Incluyente</t>
  </si>
  <si>
    <t>V1= Fase 1 de localización y negociación del predio  
V2= Fase 2 de Estudios y Diseños del proyecto cuando se tenga el predio
V3= Fase 3 de Construcción o Adquisición del predio
V4= Fase 4 de Dotación/Adecuación/equipamiento del Archivo General</t>
  </si>
  <si>
    <t>Ponderación dimensión (%)</t>
  </si>
  <si>
    <t>Valor de la ponderación de la línea estratégica dentro de la dimensión</t>
  </si>
  <si>
    <t>Ponderación meta (%) 2020</t>
  </si>
  <si>
    <t>Ponderación meta (%) 2021</t>
  </si>
  <si>
    <t>Ponderación meta (%) 2022</t>
  </si>
  <si>
    <t>Ponderación meta (%) 2023</t>
  </si>
  <si>
    <t>Ponderación meta (%)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</si>
</sst>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([$€]* #,##0.00_);_([$€]* \(#,##0.00\);_([$€]* &quot;-&quot;??_);_(@_)"/>
    <numFmt numFmtId="165" formatCode="_ [$€-2]\ * #,##0.00_ ;_ [$€-2]\ * \-#,##0.00_ ;_ [$€-2]\ * &quot;-&quot;??_ "/>
    <numFmt numFmtId="166" formatCode="_ * #,##0.00_ ;_ * \-#,##0.00_ ;_ * &quot;-&quot;??_ ;_ @_ "/>
    <numFmt numFmtId="167" formatCode="0.000"/>
    <numFmt numFmtId="168" formatCode="#,##0.000"/>
    <numFmt numFmtId="169" formatCode="0.000%"/>
    <numFmt numFmtId="170" formatCode="#,##0.0"/>
    <numFmt numFmtId="17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rgb="FF314C59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/>
      <right/>
      <top/>
      <bottom style="thin">
        <color rgb="FF000000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0" borderId="0"/>
  </cellStyleXfs>
  <cellXfs count="177">
    <xf numFmtId="0" fontId="0" fillId="0" borderId="0" xfId="0"/>
    <xf numFmtId="0" fontId="1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1" fillId="0" borderId="1" xfId="7" applyFont="1" applyBorder="1" applyAlignment="1">
      <alignment vertical="center" wrapText="1"/>
    </xf>
    <xf numFmtId="0" fontId="4" fillId="0" borderId="0" xfId="7" applyFont="1" applyAlignment="1">
      <alignment horizontal="left" vertical="center"/>
    </xf>
    <xf numFmtId="0" fontId="1" fillId="0" borderId="0" xfId="7" applyFont="1" applyAlignment="1">
      <alignment horizontal="left" vertical="center" wrapText="1"/>
    </xf>
    <xf numFmtId="0" fontId="1" fillId="0" borderId="0" xfId="7" applyFont="1" applyAlignment="1">
      <alignment vertical="center" wrapText="1"/>
    </xf>
    <xf numFmtId="0" fontId="1" fillId="0" borderId="0" xfId="7" applyFont="1" applyAlignment="1">
      <alignment horizontal="center" vertical="center"/>
    </xf>
    <xf numFmtId="0" fontId="1" fillId="0" borderId="1" xfId="7" applyFont="1" applyBorder="1" applyAlignment="1">
      <alignment horizontal="center" vertical="center" wrapText="1"/>
    </xf>
    <xf numFmtId="3" fontId="1" fillId="0" borderId="1" xfId="7" applyNumberFormat="1" applyFont="1" applyBorder="1" applyAlignment="1">
      <alignment vertical="center"/>
    </xf>
    <xf numFmtId="0" fontId="2" fillId="0" borderId="0" xfId="7" applyFont="1" applyAlignment="1">
      <alignment vertical="center"/>
    </xf>
    <xf numFmtId="0" fontId="2" fillId="0" borderId="0" xfId="7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5" xfId="7" applyFont="1" applyBorder="1" applyAlignment="1">
      <alignment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7" applyFont="1" applyBorder="1" applyAlignment="1">
      <alignment horizontal="left" vertical="center" wrapText="1"/>
    </xf>
    <xf numFmtId="0" fontId="1" fillId="0" borderId="4" xfId="7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69" fontId="1" fillId="0" borderId="9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vertical="center" wrapText="1"/>
    </xf>
    <xf numFmtId="0" fontId="1" fillId="0" borderId="9" xfId="7" applyFont="1" applyBorder="1" applyAlignment="1">
      <alignment horizontal="center" vertical="center" wrapText="1"/>
    </xf>
    <xf numFmtId="0" fontId="1" fillId="0" borderId="9" xfId="7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0" fontId="1" fillId="0" borderId="9" xfId="7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7" fontId="1" fillId="0" borderId="9" xfId="0" applyNumberFormat="1" applyFont="1" applyBorder="1" applyAlignment="1">
      <alignment horizontal="center" vertical="center" wrapText="1"/>
    </xf>
    <xf numFmtId="167" fontId="4" fillId="0" borderId="0" xfId="7" applyNumberFormat="1" applyFont="1" applyAlignment="1">
      <alignment horizontal="left" vertical="center"/>
    </xf>
    <xf numFmtId="167" fontId="9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3" fontId="1" fillId="0" borderId="0" xfId="7" applyNumberFormat="1" applyFont="1" applyAlignment="1">
      <alignment vertical="center"/>
    </xf>
    <xf numFmtId="17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70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3" xfId="8" applyFont="1" applyBorder="1" applyAlignment="1">
      <alignment horizontal="center" vertical="center" wrapText="1"/>
    </xf>
    <xf numFmtId="170" fontId="1" fillId="0" borderId="0" xfId="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7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 wrapText="1"/>
    </xf>
    <xf numFmtId="170" fontId="1" fillId="0" borderId="4" xfId="0" applyNumberFormat="1" applyFont="1" applyBorder="1" applyAlignment="1">
      <alignment vertical="center" wrapText="1"/>
    </xf>
    <xf numFmtId="170" fontId="1" fillId="0" borderId="0" xfId="0" applyNumberFormat="1" applyFont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170" fontId="1" fillId="0" borderId="8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70" fontId="1" fillId="0" borderId="14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6" xfId="8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1" fontId="1" fillId="0" borderId="14" xfId="21" applyNumberFormat="1" applyFont="1" applyFill="1" applyBorder="1" applyAlignment="1">
      <alignment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1" fillId="0" borderId="11" xfId="7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170" fontId="1" fillId="0" borderId="17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70" fontId="14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70" fontId="1" fillId="0" borderId="1" xfId="7" applyNumberFormat="1" applyFont="1" applyBorder="1" applyAlignment="1">
      <alignment vertical="center"/>
    </xf>
    <xf numFmtId="170" fontId="9" fillId="3" borderId="1" xfId="0" applyNumberFormat="1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5" fillId="0" borderId="23" xfId="0" applyFont="1" applyBorder="1"/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 wrapText="1"/>
    </xf>
    <xf numFmtId="0" fontId="1" fillId="0" borderId="5" xfId="7" applyFont="1" applyBorder="1" applyAlignment="1">
      <alignment horizontal="center" vertical="center" wrapText="1"/>
    </xf>
    <xf numFmtId="0" fontId="1" fillId="0" borderId="3" xfId="7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3">
    <cellStyle name="Euro" xfId="1" xr:uid="{00000000-0005-0000-0000-000000000000}"/>
    <cellStyle name="Euro 2" xfId="2" xr:uid="{00000000-0005-0000-0000-000001000000}"/>
    <cellStyle name="Millares [0]" xfId="21" builtinId="6"/>
    <cellStyle name="Millares 2" xfId="3" xr:uid="{00000000-0005-0000-0000-000003000000}"/>
    <cellStyle name="Normal" xfId="0" builtinId="0"/>
    <cellStyle name="Normal 112" xfId="4" xr:uid="{00000000-0005-0000-0000-000005000000}"/>
    <cellStyle name="Normal 113" xfId="5" xr:uid="{00000000-0005-0000-0000-000006000000}"/>
    <cellStyle name="Normal 114" xfId="6" xr:uid="{00000000-0005-0000-0000-000007000000}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4" xfId="12" xr:uid="{00000000-0005-0000-0000-00000D000000}"/>
    <cellStyle name="Normal 46" xfId="13" xr:uid="{00000000-0005-0000-0000-00000E000000}"/>
    <cellStyle name="Normal 47" xfId="14" xr:uid="{00000000-0005-0000-0000-00000F000000}"/>
    <cellStyle name="Normal 48" xfId="15" xr:uid="{00000000-0005-0000-0000-000010000000}"/>
    <cellStyle name="Normal 5" xfId="16" xr:uid="{00000000-0005-0000-0000-000011000000}"/>
    <cellStyle name="Normal 6" xfId="17" xr:uid="{00000000-0005-0000-0000-000012000000}"/>
    <cellStyle name="Normal 7" xfId="18" xr:uid="{00000000-0005-0000-0000-000013000000}"/>
    <cellStyle name="Normal 8" xfId="22" xr:uid="{B309BFEF-6BC1-4AEC-9B19-3134D1B92703}"/>
    <cellStyle name="Porcentual 2" xfId="19" xr:uid="{00000000-0005-0000-0000-000014000000}"/>
    <cellStyle name="Porcentual 3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228940</xdr:colOff>
      <xdr:row>0</xdr:row>
      <xdr:rowOff>0</xdr:rowOff>
    </xdr:from>
    <xdr:ext cx="23329560" cy="1270254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64346ED3-B79B-431A-9703-E1ACA511E47F}"/>
            </a:ext>
          </a:extLst>
        </xdr:cNvPr>
        <xdr:cNvGrpSpPr/>
      </xdr:nvGrpSpPr>
      <xdr:grpSpPr>
        <a:xfrm>
          <a:off x="2419690" y="0"/>
          <a:ext cx="23329560" cy="1270254"/>
          <a:chOff x="-65236" y="3146588"/>
          <a:chExt cx="10757237" cy="12896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10D0A7DD-3BB2-4721-DF0E-3EFBCD441E83}"/>
              </a:ext>
            </a:extLst>
          </xdr:cNvPr>
          <xdr:cNvGrpSpPr/>
        </xdr:nvGrpSpPr>
        <xdr:grpSpPr>
          <a:xfrm>
            <a:off x="-65236" y="3146588"/>
            <a:ext cx="10757237" cy="1289650"/>
            <a:chOff x="-88" y="0"/>
            <a:chExt cx="14511" cy="1808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160A354D-260A-DF01-BF2B-1D6D530E19F2}"/>
                </a:ext>
              </a:extLst>
            </xdr:cNvPr>
            <xdr:cNvSpPr/>
          </xdr:nvSpPr>
          <xdr:spPr>
            <a:xfrm>
              <a:off x="0" y="0"/>
              <a:ext cx="14400" cy="1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6F2979ED-9CEA-C6AC-AF37-E90CD66F614E}"/>
                </a:ext>
              </a:extLst>
            </xdr:cNvPr>
            <xdr:cNvSpPr/>
          </xdr:nvSpPr>
          <xdr:spPr>
            <a:xfrm>
              <a:off x="0" y="0"/>
              <a:ext cx="14423" cy="1775"/>
            </a:xfrm>
            <a:prstGeom prst="rect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24F73E92-B0E1-6281-C77B-CC0CE119BA1B}"/>
                </a:ext>
              </a:extLst>
            </xdr:cNvPr>
            <xdr:cNvSpPr txBox="1"/>
          </xdr:nvSpPr>
          <xdr:spPr>
            <a:xfrm>
              <a:off x="11005" y="0"/>
              <a:ext cx="3418" cy="879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7350" rIns="36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/>
                  <a:ea typeface="Arial"/>
                  <a:cs typeface="Arial"/>
                  <a:sym typeface="Arial"/>
                </a:rPr>
                <a:t>MEDE01.03.01.P003.F006</a:t>
              </a:r>
              <a:endParaRPr sz="900" b="0" i="0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4" name="Shape 7">
              <a:extLst>
                <a:ext uri="{FF2B5EF4-FFF2-40B4-BE49-F238E27FC236}">
                  <a16:creationId xmlns:a16="http://schemas.microsoft.com/office/drawing/2014/main" id="{CB668911-D78B-E61D-480B-8EEBA3275B68}"/>
                </a:ext>
              </a:extLst>
            </xdr:cNvPr>
            <xdr:cNvSpPr/>
          </xdr:nvSpPr>
          <xdr:spPr>
            <a:xfrm>
              <a:off x="12723" y="852"/>
              <a:ext cx="1695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 panose="020B0604020202020204" pitchFamily="34" charset="0"/>
                  <a:cs typeface="Arial" panose="020B0604020202020204" pitchFamily="34" charset="0"/>
                </a:rPr>
                <a:t>002</a:t>
              </a:r>
              <a:endParaRPr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5" name="Shape 8">
              <a:extLst>
                <a:ext uri="{FF2B5EF4-FFF2-40B4-BE49-F238E27FC236}">
                  <a16:creationId xmlns:a16="http://schemas.microsoft.com/office/drawing/2014/main" id="{1898BCA7-E5CD-786A-1BBD-196857774EF7}"/>
                </a:ext>
              </a:extLst>
            </xdr:cNvPr>
            <xdr:cNvSpPr/>
          </xdr:nvSpPr>
          <xdr:spPr>
            <a:xfrm>
              <a:off x="10986" y="852"/>
              <a:ext cx="1737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  <a:endParaRPr sz="1200"/>
            </a:p>
          </xdr:txBody>
        </xdr:sp>
        <xdr:sp macro="" textlink="">
          <xdr:nvSpPr>
            <xdr:cNvPr id="16" name="Shape 9">
              <a:extLst>
                <a:ext uri="{FF2B5EF4-FFF2-40B4-BE49-F238E27FC236}">
                  <a16:creationId xmlns:a16="http://schemas.microsoft.com/office/drawing/2014/main" id="{3964F111-33B3-5E14-28A4-3441CD1049AA}"/>
                </a:ext>
              </a:extLst>
            </xdr:cNvPr>
            <xdr:cNvSpPr txBox="1"/>
          </xdr:nvSpPr>
          <xdr:spPr>
            <a:xfrm>
              <a:off x="-88" y="0"/>
              <a:ext cx="11086" cy="18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2675" rIns="36350" bIns="2267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MODELO INTEGRADO DE PLANEACIÓN Y GESTIÓN</a:t>
              </a: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(MIPG)</a:t>
              </a:r>
              <a:endParaRPr sz="10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2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>
                  <a:latin typeface="Arial" panose="020B0604020202020204" pitchFamily="34" charset="0"/>
                  <a:cs typeface="Arial" panose="020B0604020202020204" pitchFamily="34" charset="0"/>
                </a:rPr>
                <a:t>MATRIZ DE </a:t>
              </a:r>
              <a:r>
                <a:rPr lang="en-US" sz="12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PLAN INDICATIVO</a:t>
              </a:r>
              <a:endParaRPr sz="1200" b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 fLocksWithSheet="0"/>
  </xdr:oneCellAnchor>
  <xdr:oneCellAnchor>
    <xdr:from>
      <xdr:col>0</xdr:col>
      <xdr:colOff>183304</xdr:colOff>
      <xdr:row>0</xdr:row>
      <xdr:rowOff>859367</xdr:rowOff>
    </xdr:from>
    <xdr:ext cx="1933575" cy="238125"/>
    <xdr:sp macro="" textlink="">
      <xdr:nvSpPr>
        <xdr:cNvPr id="17" name="Shape 10">
          <a:extLst>
            <a:ext uri="{FF2B5EF4-FFF2-40B4-BE49-F238E27FC236}">
              <a16:creationId xmlns:a16="http://schemas.microsoft.com/office/drawing/2014/main" id="{C1AED4E6-9EDC-4EDC-B94A-FB3AD2F83A88}"/>
            </a:ext>
          </a:extLst>
        </xdr:cNvPr>
        <xdr:cNvSpPr txBox="1"/>
      </xdr:nvSpPr>
      <xdr:spPr>
        <a:xfrm>
          <a:off x="183304" y="859367"/>
          <a:ext cx="19335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DIRECCIONAMIENTO  ESTRATEGICO</a:t>
          </a:r>
          <a:endParaRPr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PLANEACION ECONOMICA Y SOCIAL</a:t>
          </a:r>
          <a:endParaRPr sz="80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  <xdr:oneCellAnchor>
    <xdr:from>
      <xdr:col>0</xdr:col>
      <xdr:colOff>576155</xdr:colOff>
      <xdr:row>0</xdr:row>
      <xdr:rowOff>83820</xdr:rowOff>
    </xdr:from>
    <xdr:ext cx="1080000" cy="720000"/>
    <xdr:pic>
      <xdr:nvPicPr>
        <xdr:cNvPr id="18" name="image1.jpg" descr="escudo">
          <a:extLst>
            <a:ext uri="{FF2B5EF4-FFF2-40B4-BE49-F238E27FC236}">
              <a16:creationId xmlns:a16="http://schemas.microsoft.com/office/drawing/2014/main" id="{B83671F0-B78E-476E-B93D-3FC3F2CA7A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55" y="8382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228940</xdr:colOff>
      <xdr:row>0</xdr:row>
      <xdr:rowOff>0</xdr:rowOff>
    </xdr:from>
    <xdr:ext cx="23164460" cy="1270254"/>
    <xdr:grpSp>
      <xdr:nvGrpSpPr>
        <xdr:cNvPr id="12" name="Shape 2" title="Dibujo">
          <a:extLst>
            <a:ext uri="{FF2B5EF4-FFF2-40B4-BE49-F238E27FC236}">
              <a16:creationId xmlns:a16="http://schemas.microsoft.com/office/drawing/2014/main" id="{EB170C3D-5A69-436C-B6E3-4AC61A867DF6}"/>
            </a:ext>
          </a:extLst>
        </xdr:cNvPr>
        <xdr:cNvGrpSpPr/>
      </xdr:nvGrpSpPr>
      <xdr:grpSpPr>
        <a:xfrm>
          <a:off x="2433876" y="0"/>
          <a:ext cx="23164460" cy="1270254"/>
          <a:chOff x="-65236" y="3146588"/>
          <a:chExt cx="10757237" cy="1289650"/>
        </a:xfrm>
      </xdr:grpSpPr>
      <xdr:grpSp>
        <xdr:nvGrpSpPr>
          <xdr:cNvPr id="13" name="Shape 3">
            <a:extLst>
              <a:ext uri="{FF2B5EF4-FFF2-40B4-BE49-F238E27FC236}">
                <a16:creationId xmlns:a16="http://schemas.microsoft.com/office/drawing/2014/main" id="{88AA3DCC-8678-C8A0-E052-A5C0E5CD8B24}"/>
              </a:ext>
            </a:extLst>
          </xdr:cNvPr>
          <xdr:cNvGrpSpPr/>
        </xdr:nvGrpSpPr>
        <xdr:grpSpPr>
          <a:xfrm>
            <a:off x="-65236" y="3146588"/>
            <a:ext cx="10757237" cy="1289650"/>
            <a:chOff x="-88" y="0"/>
            <a:chExt cx="14511" cy="1808"/>
          </a:xfrm>
        </xdr:grpSpPr>
        <xdr:sp macro="" textlink="">
          <xdr:nvSpPr>
            <xdr:cNvPr id="14" name="Shape 4">
              <a:extLst>
                <a:ext uri="{FF2B5EF4-FFF2-40B4-BE49-F238E27FC236}">
                  <a16:creationId xmlns:a16="http://schemas.microsoft.com/office/drawing/2014/main" id="{5E7151CE-C700-D5FB-C860-86E85F80400F}"/>
                </a:ext>
              </a:extLst>
            </xdr:cNvPr>
            <xdr:cNvSpPr/>
          </xdr:nvSpPr>
          <xdr:spPr>
            <a:xfrm>
              <a:off x="0" y="0"/>
              <a:ext cx="14400" cy="1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5" name="Shape 5">
              <a:extLst>
                <a:ext uri="{FF2B5EF4-FFF2-40B4-BE49-F238E27FC236}">
                  <a16:creationId xmlns:a16="http://schemas.microsoft.com/office/drawing/2014/main" id="{08C7FD28-E11A-5839-1A45-958375E3C23F}"/>
                </a:ext>
              </a:extLst>
            </xdr:cNvPr>
            <xdr:cNvSpPr/>
          </xdr:nvSpPr>
          <xdr:spPr>
            <a:xfrm>
              <a:off x="0" y="0"/>
              <a:ext cx="14423" cy="1775"/>
            </a:xfrm>
            <a:prstGeom prst="rect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6">
              <a:extLst>
                <a:ext uri="{FF2B5EF4-FFF2-40B4-BE49-F238E27FC236}">
                  <a16:creationId xmlns:a16="http://schemas.microsoft.com/office/drawing/2014/main" id="{046585D7-29FB-B524-B40D-2BAEBAD70C82}"/>
                </a:ext>
              </a:extLst>
            </xdr:cNvPr>
            <xdr:cNvSpPr txBox="1"/>
          </xdr:nvSpPr>
          <xdr:spPr>
            <a:xfrm>
              <a:off x="11005" y="0"/>
              <a:ext cx="3418" cy="879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7350" rIns="36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/>
                  <a:ea typeface="Arial"/>
                  <a:cs typeface="Arial"/>
                  <a:sym typeface="Arial"/>
                </a:rPr>
                <a:t>MEDE01.03.01.P003.F006</a:t>
              </a:r>
              <a:endParaRPr sz="900" b="0" i="0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7" name="Shape 7">
              <a:extLst>
                <a:ext uri="{FF2B5EF4-FFF2-40B4-BE49-F238E27FC236}">
                  <a16:creationId xmlns:a16="http://schemas.microsoft.com/office/drawing/2014/main" id="{B0FB205E-488A-A452-5849-F37CE01137CE}"/>
                </a:ext>
              </a:extLst>
            </xdr:cNvPr>
            <xdr:cNvSpPr/>
          </xdr:nvSpPr>
          <xdr:spPr>
            <a:xfrm>
              <a:off x="12723" y="852"/>
              <a:ext cx="1695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 panose="020B0604020202020204" pitchFamily="34" charset="0"/>
                  <a:cs typeface="Arial" panose="020B0604020202020204" pitchFamily="34" charset="0"/>
                </a:rPr>
                <a:t>002</a:t>
              </a:r>
              <a:endParaRPr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Shape 8">
              <a:extLst>
                <a:ext uri="{FF2B5EF4-FFF2-40B4-BE49-F238E27FC236}">
                  <a16:creationId xmlns:a16="http://schemas.microsoft.com/office/drawing/2014/main" id="{D1FC2690-DDAC-BF62-E6D6-1605C0C29DAB}"/>
                </a:ext>
              </a:extLst>
            </xdr:cNvPr>
            <xdr:cNvSpPr/>
          </xdr:nvSpPr>
          <xdr:spPr>
            <a:xfrm>
              <a:off x="10986" y="852"/>
              <a:ext cx="1737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  <a:endParaRPr sz="1200"/>
            </a:p>
          </xdr:txBody>
        </xdr:sp>
        <xdr:sp macro="" textlink="">
          <xdr:nvSpPr>
            <xdr:cNvPr id="19" name="Shape 9">
              <a:extLst>
                <a:ext uri="{FF2B5EF4-FFF2-40B4-BE49-F238E27FC236}">
                  <a16:creationId xmlns:a16="http://schemas.microsoft.com/office/drawing/2014/main" id="{2BCC94A6-BF9E-CE7D-28E8-D34A19BD621D}"/>
                </a:ext>
              </a:extLst>
            </xdr:cNvPr>
            <xdr:cNvSpPr txBox="1"/>
          </xdr:nvSpPr>
          <xdr:spPr>
            <a:xfrm>
              <a:off x="-88" y="0"/>
              <a:ext cx="11086" cy="18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2675" rIns="36350" bIns="2267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MODELO INTEGRADO DE PLANEACIÓN Y GESTIÓN</a:t>
              </a: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(MIPG)</a:t>
              </a:r>
              <a:endParaRPr sz="10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2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>
                  <a:latin typeface="Arial" panose="020B0604020202020204" pitchFamily="34" charset="0"/>
                  <a:cs typeface="Arial" panose="020B0604020202020204" pitchFamily="34" charset="0"/>
                </a:rPr>
                <a:t>MATRIZ DE </a:t>
              </a:r>
              <a:r>
                <a:rPr lang="en-US" sz="12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PLAN INDICATIVO</a:t>
              </a:r>
              <a:endParaRPr sz="1200" b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 fLocksWithSheet="0"/>
  </xdr:oneCellAnchor>
  <xdr:oneCellAnchor>
    <xdr:from>
      <xdr:col>0</xdr:col>
      <xdr:colOff>183304</xdr:colOff>
      <xdr:row>0</xdr:row>
      <xdr:rowOff>859367</xdr:rowOff>
    </xdr:from>
    <xdr:ext cx="1933575" cy="238125"/>
    <xdr:sp macro="" textlink="">
      <xdr:nvSpPr>
        <xdr:cNvPr id="20" name="Shape 10">
          <a:extLst>
            <a:ext uri="{FF2B5EF4-FFF2-40B4-BE49-F238E27FC236}">
              <a16:creationId xmlns:a16="http://schemas.microsoft.com/office/drawing/2014/main" id="{1B35E4CB-006B-43D6-9C9D-1D368144E098}"/>
            </a:ext>
          </a:extLst>
        </xdr:cNvPr>
        <xdr:cNvSpPr txBox="1"/>
      </xdr:nvSpPr>
      <xdr:spPr>
        <a:xfrm>
          <a:off x="183304" y="859367"/>
          <a:ext cx="19335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DIRECCIONAMIENTO  ESTRATEGICO</a:t>
          </a:r>
          <a:endParaRPr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PLANEACION ECONOMICA Y SOCIAL</a:t>
          </a:r>
          <a:endParaRPr sz="80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  <xdr:oneCellAnchor>
    <xdr:from>
      <xdr:col>0</xdr:col>
      <xdr:colOff>576155</xdr:colOff>
      <xdr:row>0</xdr:row>
      <xdr:rowOff>83820</xdr:rowOff>
    </xdr:from>
    <xdr:ext cx="1080000" cy="720000"/>
    <xdr:pic>
      <xdr:nvPicPr>
        <xdr:cNvPr id="21" name="image1.jpg" descr="escudo">
          <a:extLst>
            <a:ext uri="{FF2B5EF4-FFF2-40B4-BE49-F238E27FC236}">
              <a16:creationId xmlns:a16="http://schemas.microsoft.com/office/drawing/2014/main" id="{E73349C1-F22F-48C1-BA74-70724CA262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55" y="8382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228940</xdr:colOff>
      <xdr:row>0</xdr:row>
      <xdr:rowOff>0</xdr:rowOff>
    </xdr:from>
    <xdr:ext cx="23164460" cy="1270254"/>
    <xdr:grpSp>
      <xdr:nvGrpSpPr>
        <xdr:cNvPr id="12" name="Shape 2" title="Dibujo">
          <a:extLst>
            <a:ext uri="{FF2B5EF4-FFF2-40B4-BE49-F238E27FC236}">
              <a16:creationId xmlns:a16="http://schemas.microsoft.com/office/drawing/2014/main" id="{37AB6B6E-0634-4F93-A1B2-5F48B0B14E66}"/>
            </a:ext>
          </a:extLst>
        </xdr:cNvPr>
        <xdr:cNvGrpSpPr/>
      </xdr:nvGrpSpPr>
      <xdr:grpSpPr>
        <a:xfrm>
          <a:off x="2438740" y="0"/>
          <a:ext cx="23164460" cy="1270254"/>
          <a:chOff x="-65236" y="3146588"/>
          <a:chExt cx="10757237" cy="1289650"/>
        </a:xfrm>
      </xdr:grpSpPr>
      <xdr:grpSp>
        <xdr:nvGrpSpPr>
          <xdr:cNvPr id="13" name="Shape 3">
            <a:extLst>
              <a:ext uri="{FF2B5EF4-FFF2-40B4-BE49-F238E27FC236}">
                <a16:creationId xmlns:a16="http://schemas.microsoft.com/office/drawing/2014/main" id="{7C1D91C6-3A6F-16C5-E371-1E1E2B44EEFD}"/>
              </a:ext>
            </a:extLst>
          </xdr:cNvPr>
          <xdr:cNvGrpSpPr/>
        </xdr:nvGrpSpPr>
        <xdr:grpSpPr>
          <a:xfrm>
            <a:off x="-65236" y="3146588"/>
            <a:ext cx="10757237" cy="1289650"/>
            <a:chOff x="-88" y="0"/>
            <a:chExt cx="14511" cy="1808"/>
          </a:xfrm>
        </xdr:grpSpPr>
        <xdr:sp macro="" textlink="">
          <xdr:nvSpPr>
            <xdr:cNvPr id="14" name="Shape 4">
              <a:extLst>
                <a:ext uri="{FF2B5EF4-FFF2-40B4-BE49-F238E27FC236}">
                  <a16:creationId xmlns:a16="http://schemas.microsoft.com/office/drawing/2014/main" id="{059E1EAB-83E0-1020-5F2A-0510D9C007DD}"/>
                </a:ext>
              </a:extLst>
            </xdr:cNvPr>
            <xdr:cNvSpPr/>
          </xdr:nvSpPr>
          <xdr:spPr>
            <a:xfrm>
              <a:off x="0" y="0"/>
              <a:ext cx="14400" cy="1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5" name="Shape 5">
              <a:extLst>
                <a:ext uri="{FF2B5EF4-FFF2-40B4-BE49-F238E27FC236}">
                  <a16:creationId xmlns:a16="http://schemas.microsoft.com/office/drawing/2014/main" id="{E1BB1BC7-FE9D-1E45-FC7E-220B1867A5B8}"/>
                </a:ext>
              </a:extLst>
            </xdr:cNvPr>
            <xdr:cNvSpPr/>
          </xdr:nvSpPr>
          <xdr:spPr>
            <a:xfrm>
              <a:off x="0" y="0"/>
              <a:ext cx="14423" cy="1775"/>
            </a:xfrm>
            <a:prstGeom prst="rect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6">
              <a:extLst>
                <a:ext uri="{FF2B5EF4-FFF2-40B4-BE49-F238E27FC236}">
                  <a16:creationId xmlns:a16="http://schemas.microsoft.com/office/drawing/2014/main" id="{26373A23-9704-1135-83D8-621DDC233485}"/>
                </a:ext>
              </a:extLst>
            </xdr:cNvPr>
            <xdr:cNvSpPr txBox="1"/>
          </xdr:nvSpPr>
          <xdr:spPr>
            <a:xfrm>
              <a:off x="11005" y="0"/>
              <a:ext cx="3418" cy="879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7350" rIns="36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/>
                  <a:ea typeface="Arial"/>
                  <a:cs typeface="Arial"/>
                  <a:sym typeface="Arial"/>
                </a:rPr>
                <a:t>MEDE01.03.01.P003.F006</a:t>
              </a:r>
              <a:endParaRPr sz="900" b="0" i="0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7" name="Shape 7">
              <a:extLst>
                <a:ext uri="{FF2B5EF4-FFF2-40B4-BE49-F238E27FC236}">
                  <a16:creationId xmlns:a16="http://schemas.microsoft.com/office/drawing/2014/main" id="{C9B853AC-9806-62A0-50DB-696236E501AE}"/>
                </a:ext>
              </a:extLst>
            </xdr:cNvPr>
            <xdr:cNvSpPr/>
          </xdr:nvSpPr>
          <xdr:spPr>
            <a:xfrm>
              <a:off x="12723" y="852"/>
              <a:ext cx="1695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 panose="020B0604020202020204" pitchFamily="34" charset="0"/>
                  <a:cs typeface="Arial" panose="020B0604020202020204" pitchFamily="34" charset="0"/>
                </a:rPr>
                <a:t>002</a:t>
              </a:r>
              <a:endParaRPr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Shape 8">
              <a:extLst>
                <a:ext uri="{FF2B5EF4-FFF2-40B4-BE49-F238E27FC236}">
                  <a16:creationId xmlns:a16="http://schemas.microsoft.com/office/drawing/2014/main" id="{75C4B22C-AEB8-DF0D-A681-EA19AE498133}"/>
                </a:ext>
              </a:extLst>
            </xdr:cNvPr>
            <xdr:cNvSpPr/>
          </xdr:nvSpPr>
          <xdr:spPr>
            <a:xfrm>
              <a:off x="10986" y="852"/>
              <a:ext cx="1737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  <a:endParaRPr sz="1200"/>
            </a:p>
          </xdr:txBody>
        </xdr:sp>
        <xdr:sp macro="" textlink="">
          <xdr:nvSpPr>
            <xdr:cNvPr id="19" name="Shape 9">
              <a:extLst>
                <a:ext uri="{FF2B5EF4-FFF2-40B4-BE49-F238E27FC236}">
                  <a16:creationId xmlns:a16="http://schemas.microsoft.com/office/drawing/2014/main" id="{F0500C2C-9295-EB65-15B3-3ECDF8A9B49D}"/>
                </a:ext>
              </a:extLst>
            </xdr:cNvPr>
            <xdr:cNvSpPr txBox="1"/>
          </xdr:nvSpPr>
          <xdr:spPr>
            <a:xfrm>
              <a:off x="-88" y="0"/>
              <a:ext cx="11086" cy="18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2675" rIns="36350" bIns="2267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MODELO INTEGRADO DE PLANEACIÓN Y GESTIÓN</a:t>
              </a: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(MIPG)</a:t>
              </a:r>
              <a:endParaRPr sz="10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2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>
                  <a:latin typeface="Arial" panose="020B0604020202020204" pitchFamily="34" charset="0"/>
                  <a:cs typeface="Arial" panose="020B0604020202020204" pitchFamily="34" charset="0"/>
                </a:rPr>
                <a:t>MATRIZ DE </a:t>
              </a:r>
              <a:r>
                <a:rPr lang="en-US" sz="12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PLAN INDICATIVO</a:t>
              </a:r>
              <a:endParaRPr sz="1200" b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 fLocksWithSheet="0"/>
  </xdr:oneCellAnchor>
  <xdr:oneCellAnchor>
    <xdr:from>
      <xdr:col>0</xdr:col>
      <xdr:colOff>183304</xdr:colOff>
      <xdr:row>0</xdr:row>
      <xdr:rowOff>859367</xdr:rowOff>
    </xdr:from>
    <xdr:ext cx="1933575" cy="238125"/>
    <xdr:sp macro="" textlink="">
      <xdr:nvSpPr>
        <xdr:cNvPr id="20" name="Shape 10">
          <a:extLst>
            <a:ext uri="{FF2B5EF4-FFF2-40B4-BE49-F238E27FC236}">
              <a16:creationId xmlns:a16="http://schemas.microsoft.com/office/drawing/2014/main" id="{A353D457-78F8-4879-938A-B25F00B71223}"/>
            </a:ext>
          </a:extLst>
        </xdr:cNvPr>
        <xdr:cNvSpPr txBox="1"/>
      </xdr:nvSpPr>
      <xdr:spPr>
        <a:xfrm>
          <a:off x="183304" y="859367"/>
          <a:ext cx="19335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DIRECCIONAMIENTO  ESTRATEGICO</a:t>
          </a:r>
          <a:endParaRPr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PLANEACION ECONOMICA Y SOCIAL</a:t>
          </a:r>
          <a:endParaRPr sz="80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  <xdr:oneCellAnchor>
    <xdr:from>
      <xdr:col>0</xdr:col>
      <xdr:colOff>576155</xdr:colOff>
      <xdr:row>0</xdr:row>
      <xdr:rowOff>83820</xdr:rowOff>
    </xdr:from>
    <xdr:ext cx="1080000" cy="720000"/>
    <xdr:pic>
      <xdr:nvPicPr>
        <xdr:cNvPr id="21" name="image1.jpg" descr="escudo">
          <a:extLst>
            <a:ext uri="{FF2B5EF4-FFF2-40B4-BE49-F238E27FC236}">
              <a16:creationId xmlns:a16="http://schemas.microsoft.com/office/drawing/2014/main" id="{9C8D2AC4-1C6D-40B7-A253-10E63580CA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55" y="8382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32</xdr:col>
      <xdr:colOff>9525</xdr:colOff>
      <xdr:row>1</xdr:row>
      <xdr:rowOff>11906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1261533"/>
          <a:ext cx="26069925" cy="11906"/>
          <a:chOff x="0" y="0"/>
          <a:chExt cx="14423" cy="17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94" y="0"/>
            <a:ext cx="342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endParaRPr lang="es-CO" sz="900" b="0" i="0" strike="noStrike">
              <a:solidFill>
                <a:sysClr val="windowText" lastClr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FF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 fLocksText="0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0994" y="588"/>
            <a:ext cx="1748" cy="29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41" y="895"/>
            <a:ext cx="168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20/nov/2020</a:t>
            </a:r>
            <a:endParaRPr lang="en-US" sz="800">
              <a:solidFill>
                <a:srgbClr val="FF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94" y="881"/>
            <a:ext cx="1748" cy="89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0" y="0"/>
            <a:ext cx="95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l"/>
            <a:endParaRPr lang="es-ES" sz="100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ES" sz="1100">
                <a:effectLst/>
                <a:latin typeface="+mn-lt"/>
                <a:ea typeface="+mn-ea"/>
                <a:cs typeface="+mn-cs"/>
              </a:rPr>
              <a:t> </a:t>
            </a:r>
            <a:endParaRPr lang="es-CO" sz="1200" b="1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latin typeface="Arial" pitchFamily="34" charset="0"/>
                <a:ea typeface="+mn-ea"/>
                <a:cs typeface="Arial" pitchFamily="34" charset="0"/>
              </a:rPr>
              <a:t>MATRIZ DE PLAN INDICATIVO</a:t>
            </a:r>
          </a:p>
        </xdr:txBody>
      </xdr:sp>
    </xdr:grpSp>
    <xdr:clientData/>
  </xdr:twoCellAnchor>
  <xdr:oneCellAnchor>
    <xdr:from>
      <xdr:col>3</xdr:col>
      <xdr:colOff>228940</xdr:colOff>
      <xdr:row>0</xdr:row>
      <xdr:rowOff>0</xdr:rowOff>
    </xdr:from>
    <xdr:ext cx="23596260" cy="1270254"/>
    <xdr:grpSp>
      <xdr:nvGrpSpPr>
        <xdr:cNvPr id="12" name="Shape 2" title="Dibujo">
          <a:extLst>
            <a:ext uri="{FF2B5EF4-FFF2-40B4-BE49-F238E27FC236}">
              <a16:creationId xmlns:a16="http://schemas.microsoft.com/office/drawing/2014/main" id="{6EEA5267-4930-48B0-91A8-BD7A30110C20}"/>
            </a:ext>
          </a:extLst>
        </xdr:cNvPr>
        <xdr:cNvGrpSpPr/>
      </xdr:nvGrpSpPr>
      <xdr:grpSpPr>
        <a:xfrm>
          <a:off x="2455673" y="0"/>
          <a:ext cx="23596260" cy="1270254"/>
          <a:chOff x="-65236" y="3146588"/>
          <a:chExt cx="10757237" cy="1289650"/>
        </a:xfrm>
      </xdr:grpSpPr>
      <xdr:grpSp>
        <xdr:nvGrpSpPr>
          <xdr:cNvPr id="13" name="Shape 3">
            <a:extLst>
              <a:ext uri="{FF2B5EF4-FFF2-40B4-BE49-F238E27FC236}">
                <a16:creationId xmlns:a16="http://schemas.microsoft.com/office/drawing/2014/main" id="{BD3A5CB9-5F5B-E3B9-0150-A2B77F520CCE}"/>
              </a:ext>
            </a:extLst>
          </xdr:cNvPr>
          <xdr:cNvGrpSpPr/>
        </xdr:nvGrpSpPr>
        <xdr:grpSpPr>
          <a:xfrm>
            <a:off x="-65236" y="3146588"/>
            <a:ext cx="10757237" cy="1289650"/>
            <a:chOff x="-88" y="0"/>
            <a:chExt cx="14511" cy="1808"/>
          </a:xfrm>
        </xdr:grpSpPr>
        <xdr:sp macro="" textlink="">
          <xdr:nvSpPr>
            <xdr:cNvPr id="14" name="Shape 4">
              <a:extLst>
                <a:ext uri="{FF2B5EF4-FFF2-40B4-BE49-F238E27FC236}">
                  <a16:creationId xmlns:a16="http://schemas.microsoft.com/office/drawing/2014/main" id="{20F0A257-9934-A52D-68BF-33876EAC7A21}"/>
                </a:ext>
              </a:extLst>
            </xdr:cNvPr>
            <xdr:cNvSpPr/>
          </xdr:nvSpPr>
          <xdr:spPr>
            <a:xfrm>
              <a:off x="0" y="0"/>
              <a:ext cx="14400" cy="1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5" name="Shape 5">
              <a:extLst>
                <a:ext uri="{FF2B5EF4-FFF2-40B4-BE49-F238E27FC236}">
                  <a16:creationId xmlns:a16="http://schemas.microsoft.com/office/drawing/2014/main" id="{F304D824-C20B-D582-50AB-A66E7950657C}"/>
                </a:ext>
              </a:extLst>
            </xdr:cNvPr>
            <xdr:cNvSpPr/>
          </xdr:nvSpPr>
          <xdr:spPr>
            <a:xfrm>
              <a:off x="0" y="0"/>
              <a:ext cx="14423" cy="1775"/>
            </a:xfrm>
            <a:prstGeom prst="rect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6">
              <a:extLst>
                <a:ext uri="{FF2B5EF4-FFF2-40B4-BE49-F238E27FC236}">
                  <a16:creationId xmlns:a16="http://schemas.microsoft.com/office/drawing/2014/main" id="{0872E667-8D02-7417-0B1E-5C20D222484C}"/>
                </a:ext>
              </a:extLst>
            </xdr:cNvPr>
            <xdr:cNvSpPr txBox="1"/>
          </xdr:nvSpPr>
          <xdr:spPr>
            <a:xfrm>
              <a:off x="11005" y="0"/>
              <a:ext cx="3418" cy="879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7350" rIns="36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/>
                  <a:ea typeface="Arial"/>
                  <a:cs typeface="Arial"/>
                  <a:sym typeface="Arial"/>
                </a:rPr>
                <a:t>MEDE01.03.01.P003.F006</a:t>
              </a:r>
              <a:endParaRPr sz="900" b="0" i="0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7" name="Shape 7">
              <a:extLst>
                <a:ext uri="{FF2B5EF4-FFF2-40B4-BE49-F238E27FC236}">
                  <a16:creationId xmlns:a16="http://schemas.microsoft.com/office/drawing/2014/main" id="{92E05F2C-1D6C-7B31-A564-9DF4FE2C3654}"/>
                </a:ext>
              </a:extLst>
            </xdr:cNvPr>
            <xdr:cNvSpPr/>
          </xdr:nvSpPr>
          <xdr:spPr>
            <a:xfrm>
              <a:off x="12723" y="852"/>
              <a:ext cx="1695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 panose="020B0604020202020204" pitchFamily="34" charset="0"/>
                  <a:cs typeface="Arial" panose="020B0604020202020204" pitchFamily="34" charset="0"/>
                </a:rPr>
                <a:t>002</a:t>
              </a:r>
              <a:endParaRPr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Shape 8">
              <a:extLst>
                <a:ext uri="{FF2B5EF4-FFF2-40B4-BE49-F238E27FC236}">
                  <a16:creationId xmlns:a16="http://schemas.microsoft.com/office/drawing/2014/main" id="{8B8B347A-A5D4-18C5-B05E-DEF75F22CBF5}"/>
                </a:ext>
              </a:extLst>
            </xdr:cNvPr>
            <xdr:cNvSpPr/>
          </xdr:nvSpPr>
          <xdr:spPr>
            <a:xfrm>
              <a:off x="10986" y="852"/>
              <a:ext cx="1737" cy="94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27350" tIns="22675" rIns="2735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  <a:endParaRPr sz="1200"/>
            </a:p>
          </xdr:txBody>
        </xdr:sp>
        <xdr:sp macro="" textlink="">
          <xdr:nvSpPr>
            <xdr:cNvPr id="19" name="Shape 9">
              <a:extLst>
                <a:ext uri="{FF2B5EF4-FFF2-40B4-BE49-F238E27FC236}">
                  <a16:creationId xmlns:a16="http://schemas.microsoft.com/office/drawing/2014/main" id="{4839EC7F-C770-9EA5-3522-1A17FEE60C2B}"/>
                </a:ext>
              </a:extLst>
            </xdr:cNvPr>
            <xdr:cNvSpPr txBox="1"/>
          </xdr:nvSpPr>
          <xdr:spPr>
            <a:xfrm>
              <a:off x="-88" y="0"/>
              <a:ext cx="11086" cy="180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36350" tIns="22675" rIns="36350" bIns="2267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MODELO INTEGRADO DE PLANEACIÓN Y GESTIÓN</a:t>
              </a:r>
              <a:endParaRPr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lvl="0" indent="0" algn="ctr" rtl="1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>
                  <a:latin typeface="Arial" panose="020B0604020202020204" pitchFamily="34" charset="0"/>
                  <a:ea typeface="Arial"/>
                  <a:cs typeface="Arial" panose="020B0604020202020204" pitchFamily="34" charset="0"/>
                  <a:sym typeface="Arial"/>
                </a:rPr>
                <a:t>(MIPG)</a:t>
              </a:r>
              <a:endParaRPr sz="10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200">
                <a:latin typeface="Arial" panose="020B0604020202020204" pitchFamily="34" charset="0"/>
                <a:ea typeface="Arial"/>
                <a:cs typeface="Arial" panose="020B0604020202020204" pitchFamily="34" charset="0"/>
                <a:sym typeface="Arial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0">
                  <a:latin typeface="Arial" panose="020B0604020202020204" pitchFamily="34" charset="0"/>
                  <a:cs typeface="Arial" panose="020B0604020202020204" pitchFamily="34" charset="0"/>
                </a:rPr>
                <a:t>MATRIZ DE </a:t>
              </a:r>
              <a:r>
                <a:rPr lang="en-US" sz="1200" b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PLAN INDICATIVO</a:t>
              </a:r>
              <a:endParaRPr sz="1200" b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 fLocksWithSheet="0"/>
  </xdr:oneCellAnchor>
  <xdr:oneCellAnchor>
    <xdr:from>
      <xdr:col>0</xdr:col>
      <xdr:colOff>183304</xdr:colOff>
      <xdr:row>0</xdr:row>
      <xdr:rowOff>859367</xdr:rowOff>
    </xdr:from>
    <xdr:ext cx="1933575" cy="238125"/>
    <xdr:sp macro="" textlink="">
      <xdr:nvSpPr>
        <xdr:cNvPr id="20" name="Shape 10">
          <a:extLst>
            <a:ext uri="{FF2B5EF4-FFF2-40B4-BE49-F238E27FC236}">
              <a16:creationId xmlns:a16="http://schemas.microsoft.com/office/drawing/2014/main" id="{AFDE7844-AEC8-46D4-9204-045DEF3E47FB}"/>
            </a:ext>
          </a:extLst>
        </xdr:cNvPr>
        <xdr:cNvSpPr txBox="1"/>
      </xdr:nvSpPr>
      <xdr:spPr>
        <a:xfrm>
          <a:off x="183304" y="859367"/>
          <a:ext cx="1933575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DIRECCIONAMIENTO  ESTRATEGICO</a:t>
          </a:r>
          <a:endParaRPr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ctr" rtl="0">
            <a:lnSpc>
              <a:spcPct val="875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i="0"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PLANEACION ECONOMICA Y SOCIAL</a:t>
          </a:r>
          <a:endParaRPr sz="80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  <xdr:oneCellAnchor>
    <xdr:from>
      <xdr:col>0</xdr:col>
      <xdr:colOff>576155</xdr:colOff>
      <xdr:row>0</xdr:row>
      <xdr:rowOff>83820</xdr:rowOff>
    </xdr:from>
    <xdr:ext cx="1080000" cy="720000"/>
    <xdr:pic>
      <xdr:nvPicPr>
        <xdr:cNvPr id="21" name="image1.jpg" descr="escudo">
          <a:extLst>
            <a:ext uri="{FF2B5EF4-FFF2-40B4-BE49-F238E27FC236}">
              <a16:creationId xmlns:a16="http://schemas.microsoft.com/office/drawing/2014/main" id="{3C91AF98-E126-47C3-8ED7-D8BE641DF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55" y="8382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PlanDesarrollo%202020-2023/POAI/2023/DATA%202023%20Presupuesto%20Ini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\OneDrive\Documentos\TRABAJO%202020\PLAN%20DE%20DESARROLLO\Ponderador%20total%202020-2023%20V1%20-%20corregi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POAI 2023 DM"/>
      <sheetName val="Organismo"/>
      <sheetName val="AreaFun"/>
      <sheetName val="AreaFunPro"/>
      <sheetName val="Producto"/>
      <sheetName val="Actividad"/>
      <sheetName val="Fuente financiacion"/>
      <sheetName val="Fuente grupo financiacion"/>
    </sheetNames>
    <sheetDataSet>
      <sheetData sheetId="0"/>
      <sheetData sheetId="1"/>
      <sheetData sheetId="2">
        <row r="7">
          <cell r="A7">
            <v>51010010002</v>
          </cell>
          <cell r="B7">
            <v>199980849</v>
          </cell>
        </row>
        <row r="8">
          <cell r="A8">
            <v>51010010005</v>
          </cell>
          <cell r="B8">
            <v>400000000</v>
          </cell>
        </row>
        <row r="9">
          <cell r="A9">
            <v>51010010006</v>
          </cell>
          <cell r="B9">
            <v>250000000</v>
          </cell>
        </row>
        <row r="10">
          <cell r="A10">
            <v>51010010007</v>
          </cell>
          <cell r="B10">
            <v>206172000</v>
          </cell>
        </row>
        <row r="11">
          <cell r="A11">
            <v>51010010009</v>
          </cell>
          <cell r="B11">
            <v>198939208</v>
          </cell>
        </row>
        <row r="12">
          <cell r="A12">
            <v>51010010011</v>
          </cell>
          <cell r="B12">
            <v>37410563837</v>
          </cell>
        </row>
        <row r="13">
          <cell r="A13">
            <v>51010010012</v>
          </cell>
          <cell r="B13">
            <v>69000000</v>
          </cell>
        </row>
        <row r="14">
          <cell r="A14">
            <v>51010010015</v>
          </cell>
          <cell r="B14">
            <v>120634512574</v>
          </cell>
        </row>
        <row r="15">
          <cell r="A15">
            <v>51010010016</v>
          </cell>
          <cell r="B15">
            <v>8000000000</v>
          </cell>
        </row>
        <row r="16">
          <cell r="A16">
            <v>51010010017</v>
          </cell>
          <cell r="B16">
            <v>103539000</v>
          </cell>
        </row>
        <row r="17">
          <cell r="A17">
            <v>51010010019</v>
          </cell>
          <cell r="B17">
            <v>604367520</v>
          </cell>
        </row>
        <row r="18">
          <cell r="A18">
            <v>51010010020</v>
          </cell>
          <cell r="B18">
            <v>828762060</v>
          </cell>
        </row>
        <row r="19">
          <cell r="A19">
            <v>51010010022</v>
          </cell>
          <cell r="B19">
            <v>164768520</v>
          </cell>
        </row>
        <row r="20">
          <cell r="A20">
            <v>51010010023</v>
          </cell>
          <cell r="B20">
            <v>84098280</v>
          </cell>
        </row>
        <row r="21">
          <cell r="A21">
            <v>51010010024</v>
          </cell>
          <cell r="B21">
            <v>15000000000</v>
          </cell>
        </row>
        <row r="22">
          <cell r="A22">
            <v>51010010025</v>
          </cell>
          <cell r="B22">
            <v>69317640</v>
          </cell>
        </row>
        <row r="23">
          <cell r="A23">
            <v>51010010026</v>
          </cell>
          <cell r="B23">
            <v>37500680</v>
          </cell>
        </row>
        <row r="24">
          <cell r="A24">
            <v>51010010027</v>
          </cell>
          <cell r="B24">
            <v>37500680</v>
          </cell>
        </row>
        <row r="25">
          <cell r="A25">
            <v>51010010028</v>
          </cell>
          <cell r="B25">
            <v>1890545227</v>
          </cell>
        </row>
        <row r="26">
          <cell r="A26">
            <v>51010010038</v>
          </cell>
          <cell r="B26">
            <v>374938000</v>
          </cell>
        </row>
        <row r="27">
          <cell r="A27">
            <v>51010010039</v>
          </cell>
          <cell r="B27">
            <v>137210000</v>
          </cell>
        </row>
        <row r="28">
          <cell r="A28">
            <v>51010010041</v>
          </cell>
          <cell r="B28">
            <v>3817374624</v>
          </cell>
        </row>
        <row r="29">
          <cell r="A29">
            <v>51010010042</v>
          </cell>
          <cell r="B29">
            <v>43078205603</v>
          </cell>
        </row>
        <row r="30">
          <cell r="A30">
            <v>51010010043</v>
          </cell>
          <cell r="B30">
            <v>51279000</v>
          </cell>
        </row>
        <row r="31">
          <cell r="A31">
            <v>51010010048</v>
          </cell>
          <cell r="B31">
            <v>31816960</v>
          </cell>
        </row>
        <row r="32">
          <cell r="A32">
            <v>51010010049</v>
          </cell>
          <cell r="B32">
            <v>161082000</v>
          </cell>
        </row>
        <row r="33">
          <cell r="A33">
            <v>51010010050</v>
          </cell>
          <cell r="B33">
            <v>64769180</v>
          </cell>
        </row>
        <row r="34">
          <cell r="A34">
            <v>51020010001</v>
          </cell>
          <cell r="B34">
            <v>170000000</v>
          </cell>
        </row>
        <row r="35">
          <cell r="A35">
            <v>51020010002</v>
          </cell>
          <cell r="B35">
            <v>109090000</v>
          </cell>
        </row>
        <row r="36">
          <cell r="A36">
            <v>51020010003</v>
          </cell>
          <cell r="B36">
            <v>79055000</v>
          </cell>
        </row>
        <row r="37">
          <cell r="A37">
            <v>51020010004</v>
          </cell>
          <cell r="B37">
            <v>200000000</v>
          </cell>
        </row>
        <row r="38">
          <cell r="A38">
            <v>51020010005</v>
          </cell>
          <cell r="B38">
            <v>575167584</v>
          </cell>
        </row>
        <row r="39">
          <cell r="A39">
            <v>51020010006</v>
          </cell>
          <cell r="B39">
            <v>101440000</v>
          </cell>
        </row>
        <row r="40">
          <cell r="A40">
            <v>51020010007</v>
          </cell>
          <cell r="B40">
            <v>60199782000</v>
          </cell>
        </row>
        <row r="41">
          <cell r="A41">
            <v>51020010008</v>
          </cell>
          <cell r="B41">
            <v>808907479</v>
          </cell>
        </row>
        <row r="42">
          <cell r="A42">
            <v>51020010009</v>
          </cell>
          <cell r="B42">
            <v>105270000</v>
          </cell>
        </row>
        <row r="43">
          <cell r="A43">
            <v>51020020002</v>
          </cell>
          <cell r="B43">
            <v>145360000</v>
          </cell>
        </row>
        <row r="44">
          <cell r="A44">
            <v>51020020004</v>
          </cell>
          <cell r="B44">
            <v>91440000</v>
          </cell>
        </row>
        <row r="45">
          <cell r="A45">
            <v>51030010001</v>
          </cell>
          <cell r="B45">
            <v>104336000</v>
          </cell>
        </row>
        <row r="46">
          <cell r="A46">
            <v>51030010003</v>
          </cell>
          <cell r="B46">
            <v>610380000</v>
          </cell>
        </row>
        <row r="47">
          <cell r="A47">
            <v>51030010004</v>
          </cell>
          <cell r="B47">
            <v>3549833456</v>
          </cell>
        </row>
        <row r="48">
          <cell r="A48">
            <v>51030010005</v>
          </cell>
          <cell r="B48">
            <v>272562750</v>
          </cell>
        </row>
        <row r="49">
          <cell r="A49">
            <v>51030010006</v>
          </cell>
          <cell r="B49">
            <v>1626864199</v>
          </cell>
        </row>
        <row r="50">
          <cell r="A50">
            <v>51030010007</v>
          </cell>
          <cell r="B50">
            <v>1435055149</v>
          </cell>
        </row>
        <row r="51">
          <cell r="A51">
            <v>51030010008</v>
          </cell>
          <cell r="B51">
            <v>166215420</v>
          </cell>
        </row>
        <row r="52">
          <cell r="A52">
            <v>51030010009</v>
          </cell>
          <cell r="B52">
            <v>87371000</v>
          </cell>
        </row>
        <row r="53">
          <cell r="A53">
            <v>51030010010</v>
          </cell>
          <cell r="B53">
            <v>2163115000</v>
          </cell>
        </row>
        <row r="54">
          <cell r="A54">
            <v>51030010011</v>
          </cell>
          <cell r="B54">
            <v>536503902</v>
          </cell>
        </row>
        <row r="55">
          <cell r="A55">
            <v>51030010012</v>
          </cell>
          <cell r="B55">
            <v>1066076000</v>
          </cell>
        </row>
        <row r="56">
          <cell r="A56">
            <v>51030010013</v>
          </cell>
          <cell r="B56">
            <v>90000000</v>
          </cell>
        </row>
        <row r="57">
          <cell r="A57">
            <v>51030010014</v>
          </cell>
          <cell r="B57">
            <v>311540000</v>
          </cell>
        </row>
        <row r="58">
          <cell r="A58">
            <v>51030010015</v>
          </cell>
          <cell r="B58">
            <v>190000000</v>
          </cell>
        </row>
        <row r="59">
          <cell r="A59">
            <v>51030010016</v>
          </cell>
          <cell r="B59">
            <v>1179988000</v>
          </cell>
        </row>
        <row r="60">
          <cell r="A60">
            <v>51030010018</v>
          </cell>
          <cell r="B60">
            <v>200000000</v>
          </cell>
        </row>
        <row r="61">
          <cell r="A61">
            <v>51030010021</v>
          </cell>
          <cell r="B61">
            <v>80000000</v>
          </cell>
        </row>
        <row r="62">
          <cell r="A62">
            <v>51030010022</v>
          </cell>
          <cell r="B62">
            <v>20000000</v>
          </cell>
        </row>
        <row r="63">
          <cell r="A63">
            <v>51030010023</v>
          </cell>
          <cell r="B63">
            <v>11776889265</v>
          </cell>
        </row>
        <row r="64">
          <cell r="A64">
            <v>51030010024</v>
          </cell>
          <cell r="B64">
            <v>100000000</v>
          </cell>
        </row>
        <row r="65">
          <cell r="A65">
            <v>51030010025</v>
          </cell>
          <cell r="B65">
            <v>50000000</v>
          </cell>
        </row>
        <row r="66">
          <cell r="A66">
            <v>51040010001</v>
          </cell>
          <cell r="B66">
            <v>1369761000</v>
          </cell>
        </row>
        <row r="67">
          <cell r="A67">
            <v>51040010002</v>
          </cell>
          <cell r="B67">
            <v>186583000</v>
          </cell>
        </row>
        <row r="68">
          <cell r="A68">
            <v>51040010003</v>
          </cell>
          <cell r="B68">
            <v>432494247</v>
          </cell>
        </row>
        <row r="69">
          <cell r="A69">
            <v>51040010004</v>
          </cell>
          <cell r="B69">
            <v>102880000</v>
          </cell>
        </row>
        <row r="70">
          <cell r="A70">
            <v>51040010005</v>
          </cell>
          <cell r="B70">
            <v>315000000</v>
          </cell>
        </row>
        <row r="71">
          <cell r="A71">
            <v>51040020001</v>
          </cell>
          <cell r="B71">
            <v>13951880120</v>
          </cell>
        </row>
        <row r="72">
          <cell r="A72">
            <v>51040020002</v>
          </cell>
          <cell r="B72">
            <v>245830000</v>
          </cell>
        </row>
        <row r="73">
          <cell r="A73">
            <v>51040020003</v>
          </cell>
          <cell r="B73">
            <v>208844000</v>
          </cell>
        </row>
        <row r="74">
          <cell r="A74">
            <v>51040020004</v>
          </cell>
          <cell r="B74">
            <v>21440000</v>
          </cell>
        </row>
        <row r="75">
          <cell r="A75">
            <v>51040020005</v>
          </cell>
          <cell r="B75">
            <v>477480000</v>
          </cell>
        </row>
        <row r="76">
          <cell r="A76">
            <v>51040020006</v>
          </cell>
          <cell r="B76">
            <v>300000000</v>
          </cell>
        </row>
        <row r="77">
          <cell r="A77">
            <v>51050010004</v>
          </cell>
          <cell r="B77">
            <v>107670000</v>
          </cell>
        </row>
        <row r="78">
          <cell r="A78">
            <v>51050010005</v>
          </cell>
          <cell r="B78">
            <v>61440000</v>
          </cell>
        </row>
        <row r="79">
          <cell r="A79">
            <v>51050010008</v>
          </cell>
          <cell r="B79">
            <v>3799909000</v>
          </cell>
        </row>
        <row r="80">
          <cell r="A80">
            <v>51050010009</v>
          </cell>
          <cell r="B80">
            <v>75360000</v>
          </cell>
        </row>
        <row r="81">
          <cell r="A81">
            <v>51050020001</v>
          </cell>
          <cell r="B81">
            <v>125270000</v>
          </cell>
        </row>
        <row r="82">
          <cell r="A82">
            <v>51050020002</v>
          </cell>
          <cell r="B82">
            <v>153898000</v>
          </cell>
        </row>
        <row r="83">
          <cell r="A83">
            <v>51050020003</v>
          </cell>
          <cell r="B83">
            <v>339417000</v>
          </cell>
        </row>
        <row r="84">
          <cell r="A84">
            <v>51050020004</v>
          </cell>
          <cell r="B84">
            <v>382644100</v>
          </cell>
        </row>
        <row r="85">
          <cell r="A85">
            <v>51050020008</v>
          </cell>
          <cell r="B85">
            <v>350673000</v>
          </cell>
        </row>
        <row r="86">
          <cell r="A86">
            <v>51050030001</v>
          </cell>
          <cell r="B86">
            <v>788167978</v>
          </cell>
        </row>
        <row r="87">
          <cell r="A87">
            <v>51050030002</v>
          </cell>
          <cell r="B87">
            <v>115298112</v>
          </cell>
        </row>
        <row r="88">
          <cell r="A88">
            <v>51050030003</v>
          </cell>
          <cell r="B88">
            <v>305448505</v>
          </cell>
        </row>
        <row r="89">
          <cell r="A89">
            <v>52010010001</v>
          </cell>
          <cell r="B89">
            <v>437615070</v>
          </cell>
        </row>
        <row r="90">
          <cell r="A90">
            <v>52010010002</v>
          </cell>
          <cell r="B90">
            <v>222123620</v>
          </cell>
        </row>
        <row r="91">
          <cell r="A91">
            <v>52010010003</v>
          </cell>
          <cell r="B91">
            <v>154068250</v>
          </cell>
        </row>
        <row r="92">
          <cell r="A92">
            <v>52010010004</v>
          </cell>
          <cell r="B92">
            <v>763094750</v>
          </cell>
        </row>
        <row r="93">
          <cell r="A93">
            <v>52010010005</v>
          </cell>
          <cell r="B93">
            <v>277255400</v>
          </cell>
        </row>
        <row r="94">
          <cell r="A94">
            <v>52010010006</v>
          </cell>
          <cell r="B94">
            <v>323143640</v>
          </cell>
        </row>
        <row r="95">
          <cell r="A95">
            <v>52010010007</v>
          </cell>
          <cell r="B95">
            <v>413979660</v>
          </cell>
        </row>
        <row r="96">
          <cell r="A96">
            <v>52010010008</v>
          </cell>
          <cell r="B96">
            <v>788309440</v>
          </cell>
        </row>
        <row r="97">
          <cell r="A97">
            <v>52010010009</v>
          </cell>
          <cell r="B97">
            <v>299608140</v>
          </cell>
        </row>
        <row r="98">
          <cell r="A98">
            <v>52010010010</v>
          </cell>
          <cell r="B98">
            <v>304148700</v>
          </cell>
        </row>
        <row r="99">
          <cell r="A99">
            <v>52010010011</v>
          </cell>
          <cell r="B99">
            <v>327583980</v>
          </cell>
        </row>
        <row r="100">
          <cell r="A100">
            <v>52010010013</v>
          </cell>
          <cell r="B100">
            <v>502050840</v>
          </cell>
        </row>
        <row r="101">
          <cell r="A101">
            <v>52010010014</v>
          </cell>
          <cell r="B101">
            <v>318065030</v>
          </cell>
        </row>
        <row r="102">
          <cell r="A102">
            <v>52010010015</v>
          </cell>
          <cell r="B102">
            <v>700000000</v>
          </cell>
        </row>
        <row r="103">
          <cell r="A103">
            <v>52010010016</v>
          </cell>
          <cell r="B103">
            <v>224123880</v>
          </cell>
        </row>
        <row r="104">
          <cell r="A104">
            <v>52010020001</v>
          </cell>
          <cell r="B104">
            <v>4232890469</v>
          </cell>
        </row>
        <row r="105">
          <cell r="A105">
            <v>52010020002</v>
          </cell>
          <cell r="B105">
            <v>3446098618</v>
          </cell>
        </row>
        <row r="106">
          <cell r="A106">
            <v>52010020005</v>
          </cell>
          <cell r="B106">
            <v>239357580</v>
          </cell>
        </row>
        <row r="107">
          <cell r="A107">
            <v>52010020007</v>
          </cell>
          <cell r="B107">
            <v>105474060</v>
          </cell>
        </row>
        <row r="108">
          <cell r="A108">
            <v>52010020008</v>
          </cell>
          <cell r="B108">
            <v>300000000</v>
          </cell>
        </row>
        <row r="109">
          <cell r="A109">
            <v>52010020009</v>
          </cell>
          <cell r="B109">
            <v>834372824</v>
          </cell>
        </row>
        <row r="110">
          <cell r="A110">
            <v>52010020010</v>
          </cell>
          <cell r="B110">
            <v>171053100</v>
          </cell>
        </row>
        <row r="111">
          <cell r="A111">
            <v>52010030002</v>
          </cell>
          <cell r="B111">
            <v>760096903</v>
          </cell>
        </row>
        <row r="112">
          <cell r="A112">
            <v>52010030003</v>
          </cell>
          <cell r="B112">
            <v>756307691</v>
          </cell>
        </row>
        <row r="113">
          <cell r="A113">
            <v>52010030004</v>
          </cell>
          <cell r="B113">
            <v>12571001512</v>
          </cell>
        </row>
        <row r="114">
          <cell r="A114">
            <v>52010030005</v>
          </cell>
          <cell r="B114">
            <v>2157891881</v>
          </cell>
        </row>
        <row r="115">
          <cell r="A115">
            <v>52010030006</v>
          </cell>
          <cell r="B115">
            <v>1759061141</v>
          </cell>
        </row>
        <row r="116">
          <cell r="A116">
            <v>52010030007</v>
          </cell>
          <cell r="B116">
            <v>13684907954</v>
          </cell>
        </row>
        <row r="117">
          <cell r="A117">
            <v>52010030008</v>
          </cell>
          <cell r="B117">
            <v>467219202</v>
          </cell>
        </row>
        <row r="118">
          <cell r="A118">
            <v>52010040002</v>
          </cell>
          <cell r="B118">
            <v>298109376</v>
          </cell>
        </row>
        <row r="119">
          <cell r="A119">
            <v>52010040003</v>
          </cell>
          <cell r="B119">
            <v>498023356</v>
          </cell>
        </row>
        <row r="120">
          <cell r="A120">
            <v>52010040004</v>
          </cell>
          <cell r="B120">
            <v>404133345</v>
          </cell>
        </row>
        <row r="121">
          <cell r="A121">
            <v>52010040005</v>
          </cell>
          <cell r="B121">
            <v>800000000</v>
          </cell>
        </row>
        <row r="122">
          <cell r="A122">
            <v>52010040006</v>
          </cell>
          <cell r="B122">
            <v>2064399432</v>
          </cell>
        </row>
        <row r="123">
          <cell r="A123">
            <v>52010040008</v>
          </cell>
          <cell r="B123">
            <v>245227244</v>
          </cell>
        </row>
        <row r="124">
          <cell r="A124">
            <v>52010050001</v>
          </cell>
          <cell r="B124">
            <v>84000000</v>
          </cell>
        </row>
        <row r="125">
          <cell r="A125">
            <v>52010050002</v>
          </cell>
          <cell r="B125">
            <v>14947930</v>
          </cell>
        </row>
        <row r="126">
          <cell r="A126">
            <v>52010050003</v>
          </cell>
          <cell r="B126">
            <v>1576475928</v>
          </cell>
        </row>
        <row r="127">
          <cell r="A127">
            <v>52010050004</v>
          </cell>
          <cell r="B127">
            <v>1185046207</v>
          </cell>
        </row>
        <row r="128">
          <cell r="A128">
            <v>52010050005</v>
          </cell>
          <cell r="B128">
            <v>6000000000</v>
          </cell>
        </row>
        <row r="129">
          <cell r="A129">
            <v>52010050006</v>
          </cell>
          <cell r="B129">
            <v>100000000</v>
          </cell>
        </row>
        <row r="130">
          <cell r="A130">
            <v>52010050007</v>
          </cell>
          <cell r="B130">
            <v>50000000</v>
          </cell>
        </row>
        <row r="131">
          <cell r="A131">
            <v>52010050008</v>
          </cell>
          <cell r="B131">
            <v>1816000000</v>
          </cell>
        </row>
        <row r="132">
          <cell r="A132">
            <v>52010050010</v>
          </cell>
          <cell r="B132">
            <v>300000000</v>
          </cell>
        </row>
        <row r="133">
          <cell r="A133">
            <v>52010050011</v>
          </cell>
          <cell r="B133">
            <v>1000000000</v>
          </cell>
        </row>
        <row r="134">
          <cell r="A134">
            <v>52010050012</v>
          </cell>
          <cell r="B134">
            <v>25453710</v>
          </cell>
        </row>
        <row r="135">
          <cell r="A135">
            <v>52010050013</v>
          </cell>
          <cell r="B135">
            <v>440386816</v>
          </cell>
        </row>
        <row r="136">
          <cell r="A136">
            <v>52010050014</v>
          </cell>
          <cell r="B136">
            <v>222216565</v>
          </cell>
        </row>
        <row r="137">
          <cell r="A137">
            <v>52010050015</v>
          </cell>
          <cell r="B137">
            <v>83189630</v>
          </cell>
        </row>
        <row r="138">
          <cell r="A138">
            <v>52010050016</v>
          </cell>
          <cell r="B138">
            <v>100000000</v>
          </cell>
        </row>
        <row r="139">
          <cell r="A139">
            <v>52010050017</v>
          </cell>
          <cell r="B139">
            <v>70553500</v>
          </cell>
        </row>
        <row r="140">
          <cell r="A140">
            <v>52010050018</v>
          </cell>
          <cell r="B140">
            <v>50000000</v>
          </cell>
        </row>
        <row r="141">
          <cell r="A141">
            <v>52010050019</v>
          </cell>
          <cell r="B141">
            <v>200000000</v>
          </cell>
        </row>
        <row r="142">
          <cell r="A142">
            <v>52010050020</v>
          </cell>
          <cell r="B142">
            <v>448111360</v>
          </cell>
        </row>
        <row r="143">
          <cell r="A143">
            <v>52010050021</v>
          </cell>
          <cell r="B143">
            <v>455298000</v>
          </cell>
        </row>
        <row r="144">
          <cell r="A144">
            <v>52020010003</v>
          </cell>
          <cell r="B144">
            <v>36471466275</v>
          </cell>
        </row>
        <row r="145">
          <cell r="A145">
            <v>52020010006</v>
          </cell>
          <cell r="B145">
            <v>555000000</v>
          </cell>
        </row>
        <row r="146">
          <cell r="A146">
            <v>52020010007</v>
          </cell>
          <cell r="B146">
            <v>791278000</v>
          </cell>
        </row>
        <row r="147">
          <cell r="A147">
            <v>52020010008</v>
          </cell>
          <cell r="B147">
            <v>137703297</v>
          </cell>
        </row>
        <row r="148">
          <cell r="A148">
            <v>52020010009</v>
          </cell>
          <cell r="B148">
            <v>199998042</v>
          </cell>
        </row>
        <row r="149">
          <cell r="A149">
            <v>52020020001</v>
          </cell>
          <cell r="B149">
            <v>523660000</v>
          </cell>
        </row>
        <row r="150">
          <cell r="A150">
            <v>52020020003</v>
          </cell>
          <cell r="B150">
            <v>200000000</v>
          </cell>
        </row>
        <row r="151">
          <cell r="A151">
            <v>52020020004</v>
          </cell>
          <cell r="B151">
            <v>1391236940</v>
          </cell>
        </row>
        <row r="152">
          <cell r="A152">
            <v>52020020005</v>
          </cell>
          <cell r="B152">
            <v>1597690000</v>
          </cell>
        </row>
        <row r="153">
          <cell r="A153">
            <v>52020020006</v>
          </cell>
          <cell r="B153">
            <v>927386000</v>
          </cell>
        </row>
        <row r="154">
          <cell r="A154">
            <v>52020020007</v>
          </cell>
          <cell r="B154">
            <v>3100000000</v>
          </cell>
        </row>
        <row r="155">
          <cell r="A155">
            <v>52020020008</v>
          </cell>
          <cell r="B155">
            <v>6683884053</v>
          </cell>
        </row>
        <row r="156">
          <cell r="A156">
            <v>52020020009</v>
          </cell>
          <cell r="B156">
            <v>1291950074</v>
          </cell>
        </row>
        <row r="157">
          <cell r="A157">
            <v>52020020010</v>
          </cell>
          <cell r="B157">
            <v>3706870000</v>
          </cell>
        </row>
        <row r="158">
          <cell r="A158">
            <v>52020030001</v>
          </cell>
          <cell r="B158">
            <v>300000000</v>
          </cell>
        </row>
        <row r="159">
          <cell r="A159">
            <v>52020030002</v>
          </cell>
          <cell r="B159">
            <v>100000000</v>
          </cell>
        </row>
        <row r="160">
          <cell r="A160">
            <v>52020030003</v>
          </cell>
          <cell r="B160">
            <v>100000000</v>
          </cell>
        </row>
        <row r="161">
          <cell r="A161">
            <v>52020030004</v>
          </cell>
          <cell r="B161">
            <v>3617964705</v>
          </cell>
        </row>
        <row r="162">
          <cell r="A162">
            <v>52020030005</v>
          </cell>
          <cell r="B162">
            <v>220000000</v>
          </cell>
        </row>
        <row r="163">
          <cell r="A163">
            <v>52020030006</v>
          </cell>
          <cell r="B163">
            <v>3043974937</v>
          </cell>
        </row>
        <row r="164">
          <cell r="A164">
            <v>52020030007</v>
          </cell>
          <cell r="B164">
            <v>354328756</v>
          </cell>
        </row>
        <row r="165">
          <cell r="A165">
            <v>52020040001</v>
          </cell>
          <cell r="B165">
            <v>2984471969</v>
          </cell>
        </row>
        <row r="166">
          <cell r="A166">
            <v>52020040002</v>
          </cell>
          <cell r="B166">
            <v>9256043512</v>
          </cell>
        </row>
        <row r="167">
          <cell r="A167">
            <v>52020040003</v>
          </cell>
          <cell r="B167">
            <v>5595625206</v>
          </cell>
        </row>
        <row r="168">
          <cell r="A168">
            <v>52020040004</v>
          </cell>
          <cell r="B168">
            <v>259947300</v>
          </cell>
        </row>
        <row r="169">
          <cell r="A169">
            <v>52020040005</v>
          </cell>
          <cell r="B169">
            <v>259947300</v>
          </cell>
        </row>
        <row r="170">
          <cell r="A170">
            <v>52020040006</v>
          </cell>
          <cell r="B170">
            <v>507131900</v>
          </cell>
        </row>
        <row r="171">
          <cell r="A171">
            <v>52020040007</v>
          </cell>
          <cell r="B171">
            <v>1343770000</v>
          </cell>
        </row>
        <row r="172">
          <cell r="A172">
            <v>52020040008</v>
          </cell>
          <cell r="B172">
            <v>555482659</v>
          </cell>
        </row>
        <row r="173">
          <cell r="A173">
            <v>52020040010</v>
          </cell>
          <cell r="B173">
            <v>25270000</v>
          </cell>
        </row>
        <row r="174">
          <cell r="A174">
            <v>52020050001</v>
          </cell>
          <cell r="B174">
            <v>1815779976</v>
          </cell>
        </row>
        <row r="175">
          <cell r="A175">
            <v>52020050002</v>
          </cell>
          <cell r="B175">
            <v>664143194</v>
          </cell>
        </row>
        <row r="176">
          <cell r="A176">
            <v>52020050003</v>
          </cell>
          <cell r="B176">
            <v>2417327929</v>
          </cell>
        </row>
        <row r="177">
          <cell r="A177">
            <v>52020050004</v>
          </cell>
          <cell r="B177">
            <v>837622000</v>
          </cell>
        </row>
        <row r="178">
          <cell r="A178">
            <v>52020050005</v>
          </cell>
          <cell r="B178">
            <v>752424047</v>
          </cell>
        </row>
        <row r="179">
          <cell r="A179">
            <v>52020050006</v>
          </cell>
          <cell r="B179">
            <v>3057723705</v>
          </cell>
        </row>
        <row r="180">
          <cell r="A180">
            <v>52020050007</v>
          </cell>
          <cell r="B180">
            <v>100000000</v>
          </cell>
        </row>
        <row r="181">
          <cell r="A181">
            <v>52020060001</v>
          </cell>
          <cell r="B181">
            <v>287074000</v>
          </cell>
        </row>
        <row r="182">
          <cell r="A182">
            <v>52020060002</v>
          </cell>
          <cell r="B182">
            <v>359600000</v>
          </cell>
        </row>
        <row r="183">
          <cell r="A183">
            <v>52020060003</v>
          </cell>
          <cell r="B183">
            <v>832647000</v>
          </cell>
        </row>
        <row r="184">
          <cell r="A184">
            <v>52020060004</v>
          </cell>
          <cell r="B184">
            <v>1498194000</v>
          </cell>
        </row>
        <row r="185">
          <cell r="A185">
            <v>52020060005</v>
          </cell>
          <cell r="B185">
            <v>773550000</v>
          </cell>
        </row>
        <row r="186">
          <cell r="A186">
            <v>52020060006</v>
          </cell>
          <cell r="B186">
            <v>485843562</v>
          </cell>
        </row>
        <row r="187">
          <cell r="A187">
            <v>52020060007</v>
          </cell>
          <cell r="B187">
            <v>141045274</v>
          </cell>
        </row>
        <row r="188">
          <cell r="A188">
            <v>52020060008</v>
          </cell>
          <cell r="B188">
            <v>105850046</v>
          </cell>
        </row>
        <row r="189">
          <cell r="A189">
            <v>52020070001</v>
          </cell>
          <cell r="B189">
            <v>200000000</v>
          </cell>
        </row>
        <row r="190">
          <cell r="A190">
            <v>52020070005</v>
          </cell>
          <cell r="B190">
            <v>300000000</v>
          </cell>
        </row>
        <row r="191">
          <cell r="A191">
            <v>52020070007</v>
          </cell>
          <cell r="B191">
            <v>244659435</v>
          </cell>
        </row>
        <row r="192">
          <cell r="A192">
            <v>52020080001</v>
          </cell>
          <cell r="B192">
            <v>469707250</v>
          </cell>
        </row>
        <row r="193">
          <cell r="A193">
            <v>52020080002</v>
          </cell>
          <cell r="B193">
            <v>83013000</v>
          </cell>
        </row>
        <row r="194">
          <cell r="A194">
            <v>52020080003</v>
          </cell>
          <cell r="B194">
            <v>109944500</v>
          </cell>
        </row>
        <row r="195">
          <cell r="A195">
            <v>52020090001</v>
          </cell>
          <cell r="B195">
            <v>300000000</v>
          </cell>
        </row>
        <row r="196">
          <cell r="A196">
            <v>52020090002</v>
          </cell>
          <cell r="B196">
            <v>258318000</v>
          </cell>
        </row>
        <row r="197">
          <cell r="A197">
            <v>52020090003</v>
          </cell>
          <cell r="B197">
            <v>100000000</v>
          </cell>
        </row>
        <row r="198">
          <cell r="A198">
            <v>52020090004</v>
          </cell>
          <cell r="B198">
            <v>1683540000</v>
          </cell>
        </row>
        <row r="199">
          <cell r="A199">
            <v>52020100001</v>
          </cell>
          <cell r="B199">
            <v>2522000000</v>
          </cell>
        </row>
        <row r="200">
          <cell r="A200">
            <v>52020110001</v>
          </cell>
          <cell r="B200">
            <v>125277000</v>
          </cell>
        </row>
        <row r="201">
          <cell r="A201">
            <v>52020110002</v>
          </cell>
          <cell r="B201">
            <v>1181989200</v>
          </cell>
        </row>
        <row r="202">
          <cell r="A202">
            <v>52020110003</v>
          </cell>
          <cell r="B202">
            <v>3304994386</v>
          </cell>
        </row>
        <row r="203">
          <cell r="A203">
            <v>52020110004</v>
          </cell>
          <cell r="B203">
            <v>472785715</v>
          </cell>
        </row>
        <row r="204">
          <cell r="A204">
            <v>52020110005</v>
          </cell>
          <cell r="B204">
            <v>325853995</v>
          </cell>
        </row>
        <row r="205">
          <cell r="A205">
            <v>52020110006</v>
          </cell>
          <cell r="B205">
            <v>406099435</v>
          </cell>
        </row>
        <row r="206">
          <cell r="A206">
            <v>52030010001</v>
          </cell>
          <cell r="B206">
            <v>2134113161</v>
          </cell>
        </row>
        <row r="207">
          <cell r="A207">
            <v>52030010002</v>
          </cell>
          <cell r="B207">
            <v>350000000</v>
          </cell>
        </row>
        <row r="208">
          <cell r="A208">
            <v>52030010003</v>
          </cell>
          <cell r="B208">
            <v>495240560</v>
          </cell>
        </row>
        <row r="209">
          <cell r="A209">
            <v>52030010004</v>
          </cell>
          <cell r="B209">
            <v>656120000</v>
          </cell>
        </row>
        <row r="210">
          <cell r="A210">
            <v>52030010005</v>
          </cell>
          <cell r="B210">
            <v>1318664822</v>
          </cell>
        </row>
        <row r="211">
          <cell r="A211">
            <v>52030010006</v>
          </cell>
          <cell r="B211">
            <v>718000000</v>
          </cell>
        </row>
        <row r="212">
          <cell r="A212">
            <v>52030010007</v>
          </cell>
          <cell r="B212">
            <v>400000000</v>
          </cell>
        </row>
        <row r="213">
          <cell r="A213">
            <v>52030010008</v>
          </cell>
          <cell r="B213">
            <v>2035109818</v>
          </cell>
        </row>
        <row r="214">
          <cell r="A214">
            <v>52030010009</v>
          </cell>
          <cell r="B214">
            <v>150000000</v>
          </cell>
        </row>
        <row r="215">
          <cell r="A215">
            <v>52030010010</v>
          </cell>
          <cell r="B215">
            <v>525000000</v>
          </cell>
        </row>
        <row r="216">
          <cell r="A216">
            <v>52030010012</v>
          </cell>
          <cell r="B216">
            <v>100000000</v>
          </cell>
        </row>
        <row r="217">
          <cell r="A217">
            <v>52030010013</v>
          </cell>
          <cell r="B217">
            <v>1314556900</v>
          </cell>
        </row>
        <row r="218">
          <cell r="A218">
            <v>52030010014</v>
          </cell>
          <cell r="B218">
            <v>27683783988</v>
          </cell>
        </row>
        <row r="219">
          <cell r="A219">
            <v>52030010015</v>
          </cell>
          <cell r="B219">
            <v>522000000</v>
          </cell>
        </row>
        <row r="220">
          <cell r="A220">
            <v>52030010017</v>
          </cell>
          <cell r="B220">
            <v>442214950</v>
          </cell>
        </row>
        <row r="221">
          <cell r="A221">
            <v>52030020001</v>
          </cell>
          <cell r="B221">
            <v>1083426340968</v>
          </cell>
        </row>
        <row r="222">
          <cell r="A222">
            <v>52030020002</v>
          </cell>
          <cell r="B222">
            <v>217350000</v>
          </cell>
        </row>
        <row r="223">
          <cell r="A223">
            <v>52030020003</v>
          </cell>
          <cell r="B223">
            <v>2900000000</v>
          </cell>
        </row>
        <row r="224">
          <cell r="A224">
            <v>52030020004</v>
          </cell>
          <cell r="B224">
            <v>3467296754</v>
          </cell>
        </row>
        <row r="225">
          <cell r="A225">
            <v>52030020005</v>
          </cell>
          <cell r="B225">
            <v>10243408890</v>
          </cell>
        </row>
        <row r="226">
          <cell r="A226">
            <v>52030020006</v>
          </cell>
          <cell r="B226">
            <v>700000000</v>
          </cell>
        </row>
        <row r="227">
          <cell r="A227">
            <v>52030030001</v>
          </cell>
          <cell r="B227">
            <v>587161698</v>
          </cell>
        </row>
        <row r="228">
          <cell r="A228">
            <v>52030030002</v>
          </cell>
          <cell r="B228">
            <v>4750000000</v>
          </cell>
        </row>
        <row r="229">
          <cell r="A229">
            <v>52030030003</v>
          </cell>
          <cell r="B229">
            <v>1801000000</v>
          </cell>
        </row>
        <row r="230">
          <cell r="A230">
            <v>52030030004</v>
          </cell>
          <cell r="B230">
            <v>1000000000</v>
          </cell>
        </row>
        <row r="231">
          <cell r="A231">
            <v>52030030005</v>
          </cell>
          <cell r="B231">
            <v>2987000000</v>
          </cell>
        </row>
        <row r="232">
          <cell r="A232">
            <v>52030030006</v>
          </cell>
          <cell r="B232">
            <v>93423000</v>
          </cell>
        </row>
        <row r="233">
          <cell r="A233">
            <v>52030040002</v>
          </cell>
          <cell r="B233">
            <v>12000000000</v>
          </cell>
        </row>
        <row r="234">
          <cell r="A234">
            <v>52030050001</v>
          </cell>
          <cell r="B234">
            <v>3702527260</v>
          </cell>
        </row>
        <row r="235">
          <cell r="A235">
            <v>52030050002</v>
          </cell>
          <cell r="B235">
            <v>823400220</v>
          </cell>
        </row>
        <row r="236">
          <cell r="A236">
            <v>52030050004</v>
          </cell>
          <cell r="B236">
            <v>1611977160</v>
          </cell>
        </row>
        <row r="237">
          <cell r="A237">
            <v>52030050006</v>
          </cell>
          <cell r="B237">
            <v>117362840</v>
          </cell>
        </row>
        <row r="238">
          <cell r="A238">
            <v>52030050009</v>
          </cell>
          <cell r="B238">
            <v>643737600</v>
          </cell>
        </row>
        <row r="239">
          <cell r="A239">
            <v>52030050010</v>
          </cell>
          <cell r="B239">
            <v>478114560</v>
          </cell>
        </row>
        <row r="240">
          <cell r="A240">
            <v>52030060002</v>
          </cell>
          <cell r="B240">
            <v>1652194620</v>
          </cell>
        </row>
        <row r="241">
          <cell r="A241">
            <v>52030060003</v>
          </cell>
          <cell r="B241">
            <v>16542033234</v>
          </cell>
        </row>
        <row r="242">
          <cell r="A242">
            <v>52030070002</v>
          </cell>
          <cell r="B242">
            <v>8084579586</v>
          </cell>
        </row>
        <row r="243">
          <cell r="A243">
            <v>52030070003</v>
          </cell>
          <cell r="B243">
            <v>130000000</v>
          </cell>
        </row>
        <row r="244">
          <cell r="A244">
            <v>52030070004</v>
          </cell>
          <cell r="B244">
            <v>2427703129</v>
          </cell>
        </row>
        <row r="245">
          <cell r="A245">
            <v>52030070006</v>
          </cell>
          <cell r="B245">
            <v>3087150639</v>
          </cell>
        </row>
        <row r="246">
          <cell r="A246">
            <v>52030070007</v>
          </cell>
          <cell r="B246">
            <v>196905404</v>
          </cell>
        </row>
        <row r="247">
          <cell r="A247">
            <v>52030070008</v>
          </cell>
          <cell r="B247">
            <v>2800000000</v>
          </cell>
        </row>
        <row r="248">
          <cell r="A248">
            <v>52030070009</v>
          </cell>
          <cell r="B248">
            <v>4424567315</v>
          </cell>
        </row>
        <row r="249">
          <cell r="A249">
            <v>52030070010</v>
          </cell>
          <cell r="B249">
            <v>41910000</v>
          </cell>
        </row>
        <row r="250">
          <cell r="A250">
            <v>52030070011</v>
          </cell>
          <cell r="B250">
            <v>31400000</v>
          </cell>
        </row>
        <row r="251">
          <cell r="A251">
            <v>52030070012</v>
          </cell>
          <cell r="B251">
            <v>136008000</v>
          </cell>
        </row>
        <row r="252">
          <cell r="A252">
            <v>52030080002</v>
          </cell>
          <cell r="B252">
            <v>870379254</v>
          </cell>
        </row>
        <row r="253">
          <cell r="A253">
            <v>52030080003</v>
          </cell>
          <cell r="B253">
            <v>602912000</v>
          </cell>
        </row>
        <row r="254">
          <cell r="A254">
            <v>52030080004</v>
          </cell>
          <cell r="B254">
            <v>3500000000</v>
          </cell>
        </row>
        <row r="255">
          <cell r="A255">
            <v>52030080005</v>
          </cell>
          <cell r="B255">
            <v>23477263798</v>
          </cell>
        </row>
        <row r="256">
          <cell r="A256">
            <v>52030080007</v>
          </cell>
          <cell r="B256">
            <v>2571463626</v>
          </cell>
        </row>
        <row r="257">
          <cell r="A257">
            <v>52030080008</v>
          </cell>
          <cell r="B257">
            <v>9801546182</v>
          </cell>
        </row>
        <row r="258">
          <cell r="A258">
            <v>52030080009</v>
          </cell>
          <cell r="B258">
            <v>1755428588</v>
          </cell>
        </row>
        <row r="259">
          <cell r="A259">
            <v>52030080010</v>
          </cell>
          <cell r="B259">
            <v>34925000</v>
          </cell>
        </row>
        <row r="260">
          <cell r="A260">
            <v>52030090002</v>
          </cell>
          <cell r="B260">
            <v>1483911836</v>
          </cell>
        </row>
        <row r="261">
          <cell r="A261">
            <v>52030090003</v>
          </cell>
          <cell r="B261">
            <v>4303630459</v>
          </cell>
        </row>
        <row r="262">
          <cell r="A262">
            <v>52030090004</v>
          </cell>
          <cell r="B262">
            <v>29876804678</v>
          </cell>
        </row>
        <row r="263">
          <cell r="A263">
            <v>52030090005</v>
          </cell>
          <cell r="B263">
            <v>22462278369</v>
          </cell>
        </row>
        <row r="264">
          <cell r="A264">
            <v>52030090006</v>
          </cell>
          <cell r="B264">
            <v>485619000</v>
          </cell>
        </row>
        <row r="265">
          <cell r="A265">
            <v>52030090008</v>
          </cell>
          <cell r="B265">
            <v>10253075318</v>
          </cell>
        </row>
        <row r="266">
          <cell r="A266">
            <v>52030090009</v>
          </cell>
          <cell r="B266">
            <v>18131304764</v>
          </cell>
        </row>
        <row r="267">
          <cell r="A267">
            <v>52030100001</v>
          </cell>
          <cell r="B267">
            <v>1023622000</v>
          </cell>
        </row>
        <row r="268">
          <cell r="A268">
            <v>52030100004</v>
          </cell>
          <cell r="B268">
            <v>227008000</v>
          </cell>
        </row>
        <row r="269">
          <cell r="A269">
            <v>52030100005</v>
          </cell>
          <cell r="B269">
            <v>100000000</v>
          </cell>
        </row>
        <row r="270">
          <cell r="A270">
            <v>52030100006</v>
          </cell>
          <cell r="B270">
            <v>2001786000</v>
          </cell>
        </row>
        <row r="271">
          <cell r="A271">
            <v>52030100007</v>
          </cell>
          <cell r="B271">
            <v>1445200000</v>
          </cell>
        </row>
        <row r="272">
          <cell r="A272">
            <v>52030100008</v>
          </cell>
          <cell r="B272">
            <v>100000000</v>
          </cell>
        </row>
        <row r="273">
          <cell r="A273">
            <v>52040010001</v>
          </cell>
          <cell r="B273">
            <v>869971906</v>
          </cell>
        </row>
        <row r="274">
          <cell r="A274">
            <v>52040010002</v>
          </cell>
          <cell r="B274">
            <v>797655114957</v>
          </cell>
        </row>
        <row r="275">
          <cell r="A275">
            <v>52040010004</v>
          </cell>
          <cell r="B275">
            <v>22676455762</v>
          </cell>
        </row>
        <row r="276">
          <cell r="A276">
            <v>52040010005</v>
          </cell>
          <cell r="B276">
            <v>2462493044</v>
          </cell>
        </row>
        <row r="277">
          <cell r="A277">
            <v>52040010006</v>
          </cell>
          <cell r="B277">
            <v>70000000000</v>
          </cell>
        </row>
        <row r="278">
          <cell r="A278">
            <v>52040020002</v>
          </cell>
          <cell r="B278">
            <v>8613577693</v>
          </cell>
        </row>
        <row r="279">
          <cell r="A279">
            <v>52040030001</v>
          </cell>
          <cell r="B279">
            <v>625006000</v>
          </cell>
        </row>
        <row r="280">
          <cell r="A280">
            <v>52040030002</v>
          </cell>
          <cell r="B280">
            <v>561686950</v>
          </cell>
        </row>
        <row r="281">
          <cell r="A281">
            <v>52040030003</v>
          </cell>
          <cell r="B281">
            <v>642980000</v>
          </cell>
        </row>
        <row r="282">
          <cell r="A282">
            <v>52040040001</v>
          </cell>
          <cell r="B282">
            <v>677120195</v>
          </cell>
        </row>
        <row r="283">
          <cell r="A283">
            <v>52040040002</v>
          </cell>
          <cell r="B283">
            <v>4160336290</v>
          </cell>
        </row>
        <row r="284">
          <cell r="A284">
            <v>52040040004</v>
          </cell>
          <cell r="B284">
            <v>478062000</v>
          </cell>
        </row>
        <row r="285">
          <cell r="A285">
            <v>52040050001</v>
          </cell>
          <cell r="B285">
            <v>348940800</v>
          </cell>
        </row>
        <row r="286">
          <cell r="A286">
            <v>52040050002</v>
          </cell>
          <cell r="B286">
            <v>1587850200</v>
          </cell>
        </row>
        <row r="287">
          <cell r="A287">
            <v>52040050003</v>
          </cell>
          <cell r="B287">
            <v>1805000000</v>
          </cell>
        </row>
        <row r="288">
          <cell r="A288">
            <v>52040050004</v>
          </cell>
          <cell r="B288">
            <v>923938440</v>
          </cell>
        </row>
        <row r="289">
          <cell r="A289">
            <v>52040050005</v>
          </cell>
          <cell r="B289">
            <v>6717624838</v>
          </cell>
        </row>
        <row r="290">
          <cell r="A290">
            <v>52040050006</v>
          </cell>
          <cell r="B290">
            <v>291108300</v>
          </cell>
        </row>
        <row r="291">
          <cell r="A291">
            <v>52040050007</v>
          </cell>
          <cell r="B291">
            <v>200000000</v>
          </cell>
        </row>
        <row r="292">
          <cell r="A292">
            <v>52050010001</v>
          </cell>
          <cell r="B292">
            <v>315047694</v>
          </cell>
        </row>
        <row r="293">
          <cell r="A293">
            <v>52050010002</v>
          </cell>
          <cell r="B293">
            <v>2056514678</v>
          </cell>
        </row>
        <row r="294">
          <cell r="A294">
            <v>52050010003</v>
          </cell>
          <cell r="B294">
            <v>59782950</v>
          </cell>
        </row>
        <row r="295">
          <cell r="A295">
            <v>52050010004</v>
          </cell>
          <cell r="B295">
            <v>158415283</v>
          </cell>
        </row>
        <row r="296">
          <cell r="A296">
            <v>52050010005</v>
          </cell>
          <cell r="B296">
            <v>389244593</v>
          </cell>
        </row>
        <row r="297">
          <cell r="A297">
            <v>52050010006</v>
          </cell>
          <cell r="B297">
            <v>92284539</v>
          </cell>
        </row>
        <row r="298">
          <cell r="A298">
            <v>52050010007</v>
          </cell>
          <cell r="B298">
            <v>574831443</v>
          </cell>
        </row>
        <row r="299">
          <cell r="A299">
            <v>52050010008</v>
          </cell>
          <cell r="B299">
            <v>41910000</v>
          </cell>
        </row>
        <row r="300">
          <cell r="A300">
            <v>52050010009</v>
          </cell>
          <cell r="B300">
            <v>7591771496</v>
          </cell>
        </row>
        <row r="301">
          <cell r="A301">
            <v>52050020001</v>
          </cell>
          <cell r="B301">
            <v>5107061920</v>
          </cell>
        </row>
        <row r="302">
          <cell r="A302">
            <v>52050020002</v>
          </cell>
          <cell r="B302">
            <v>5751932668</v>
          </cell>
        </row>
        <row r="303">
          <cell r="A303">
            <v>52050020003</v>
          </cell>
          <cell r="B303">
            <v>692193904</v>
          </cell>
        </row>
        <row r="304">
          <cell r="A304">
            <v>52050020004</v>
          </cell>
          <cell r="B304">
            <v>1762978000</v>
          </cell>
        </row>
        <row r="305">
          <cell r="A305">
            <v>52050020005</v>
          </cell>
          <cell r="B305">
            <v>311000000</v>
          </cell>
        </row>
        <row r="306">
          <cell r="A306">
            <v>52050020006</v>
          </cell>
          <cell r="B306">
            <v>3312279800</v>
          </cell>
        </row>
        <row r="307">
          <cell r="A307">
            <v>52050020007</v>
          </cell>
          <cell r="B307">
            <v>571033092</v>
          </cell>
        </row>
        <row r="308">
          <cell r="A308">
            <v>52050020008</v>
          </cell>
          <cell r="B308">
            <v>144571380</v>
          </cell>
        </row>
        <row r="309">
          <cell r="A309">
            <v>52050020009</v>
          </cell>
          <cell r="B309">
            <v>830000000</v>
          </cell>
        </row>
        <row r="310">
          <cell r="A310">
            <v>52050020010</v>
          </cell>
          <cell r="B310">
            <v>1118455871</v>
          </cell>
        </row>
        <row r="311">
          <cell r="A311">
            <v>52050020011</v>
          </cell>
          <cell r="B311">
            <v>1239886780</v>
          </cell>
        </row>
        <row r="312">
          <cell r="A312">
            <v>52050020012</v>
          </cell>
          <cell r="B312">
            <v>3126603103</v>
          </cell>
        </row>
        <row r="313">
          <cell r="A313">
            <v>52050020013</v>
          </cell>
          <cell r="B313">
            <v>266967000</v>
          </cell>
        </row>
        <row r="314">
          <cell r="A314">
            <v>52050020014</v>
          </cell>
          <cell r="B314">
            <v>182000000</v>
          </cell>
        </row>
        <row r="315">
          <cell r="A315">
            <v>52050020015</v>
          </cell>
          <cell r="B315">
            <v>1000000</v>
          </cell>
        </row>
        <row r="316">
          <cell r="A316">
            <v>53010010002</v>
          </cell>
          <cell r="B316">
            <v>7446649744</v>
          </cell>
        </row>
        <row r="317">
          <cell r="A317">
            <v>53010010003</v>
          </cell>
          <cell r="B317">
            <v>1078605510</v>
          </cell>
        </row>
        <row r="318">
          <cell r="A318">
            <v>53010010004</v>
          </cell>
          <cell r="B318">
            <v>4394697565</v>
          </cell>
        </row>
        <row r="319">
          <cell r="A319">
            <v>53010010005</v>
          </cell>
          <cell r="B319">
            <v>861836980</v>
          </cell>
        </row>
        <row r="320">
          <cell r="A320">
            <v>53010010006</v>
          </cell>
          <cell r="B320">
            <v>51773793092</v>
          </cell>
        </row>
        <row r="321">
          <cell r="A321">
            <v>53010020001</v>
          </cell>
          <cell r="B321">
            <v>2878637000</v>
          </cell>
        </row>
        <row r="322">
          <cell r="A322">
            <v>53010020004</v>
          </cell>
          <cell r="B322">
            <v>634538000</v>
          </cell>
        </row>
        <row r="323">
          <cell r="A323">
            <v>53010030001</v>
          </cell>
          <cell r="B323">
            <v>160878000</v>
          </cell>
        </row>
        <row r="324">
          <cell r="A324">
            <v>53010030002</v>
          </cell>
          <cell r="B324">
            <v>417848000</v>
          </cell>
        </row>
        <row r="325">
          <cell r="A325">
            <v>53010030003</v>
          </cell>
          <cell r="B325">
            <v>220750000</v>
          </cell>
        </row>
        <row r="326">
          <cell r="A326">
            <v>53010030004</v>
          </cell>
          <cell r="B326">
            <v>291705000</v>
          </cell>
        </row>
        <row r="327">
          <cell r="A327">
            <v>53010030005</v>
          </cell>
          <cell r="B327">
            <v>1159537939</v>
          </cell>
        </row>
        <row r="328">
          <cell r="A328">
            <v>53010030006</v>
          </cell>
          <cell r="B328">
            <v>195000000</v>
          </cell>
        </row>
        <row r="329">
          <cell r="A329">
            <v>53010030007</v>
          </cell>
          <cell r="B329">
            <v>158581000</v>
          </cell>
        </row>
        <row r="330">
          <cell r="A330">
            <v>53010030008</v>
          </cell>
          <cell r="B330">
            <v>244450000</v>
          </cell>
        </row>
        <row r="331">
          <cell r="A331">
            <v>53010030010</v>
          </cell>
          <cell r="B331">
            <v>51000000</v>
          </cell>
        </row>
        <row r="332">
          <cell r="A332">
            <v>53010030011</v>
          </cell>
          <cell r="B332">
            <v>950000000</v>
          </cell>
        </row>
        <row r="333">
          <cell r="A333">
            <v>53010040001</v>
          </cell>
          <cell r="B333">
            <v>1694717644</v>
          </cell>
        </row>
        <row r="334">
          <cell r="A334">
            <v>53010040003</v>
          </cell>
          <cell r="B334">
            <v>21440000</v>
          </cell>
        </row>
        <row r="335">
          <cell r="A335">
            <v>53010040004</v>
          </cell>
          <cell r="B335">
            <v>93898000</v>
          </cell>
        </row>
        <row r="336">
          <cell r="A336">
            <v>53010040005</v>
          </cell>
          <cell r="B336">
            <v>532200000</v>
          </cell>
        </row>
        <row r="337">
          <cell r="A337">
            <v>53010040006</v>
          </cell>
          <cell r="B337">
            <v>2236785196</v>
          </cell>
        </row>
        <row r="338">
          <cell r="A338">
            <v>53020010001</v>
          </cell>
          <cell r="B338">
            <v>177370000</v>
          </cell>
        </row>
        <row r="339">
          <cell r="A339">
            <v>53020010002</v>
          </cell>
          <cell r="B339">
            <v>323367300</v>
          </cell>
        </row>
        <row r="340">
          <cell r="A340">
            <v>53020010003</v>
          </cell>
          <cell r="B340">
            <v>2000000000</v>
          </cell>
        </row>
        <row r="341">
          <cell r="A341">
            <v>53020010004</v>
          </cell>
          <cell r="B341">
            <v>1032323080</v>
          </cell>
        </row>
        <row r="342">
          <cell r="A342">
            <v>53020010005</v>
          </cell>
          <cell r="B342">
            <v>5641109360</v>
          </cell>
        </row>
        <row r="343">
          <cell r="A343">
            <v>53020010006</v>
          </cell>
          <cell r="B343">
            <v>6446142985</v>
          </cell>
        </row>
        <row r="344">
          <cell r="A344">
            <v>53020010007</v>
          </cell>
          <cell r="B344">
            <v>2625279420</v>
          </cell>
        </row>
        <row r="345">
          <cell r="A345">
            <v>53020010009</v>
          </cell>
          <cell r="B345">
            <v>299590000</v>
          </cell>
        </row>
        <row r="346">
          <cell r="A346">
            <v>53020010010</v>
          </cell>
          <cell r="B346">
            <v>347975000</v>
          </cell>
        </row>
        <row r="347">
          <cell r="A347">
            <v>53020010011</v>
          </cell>
          <cell r="B347">
            <v>732802779.99999988</v>
          </cell>
        </row>
        <row r="348">
          <cell r="A348">
            <v>53020020001</v>
          </cell>
          <cell r="B348">
            <v>672321000</v>
          </cell>
        </row>
        <row r="349">
          <cell r="A349">
            <v>53020020002</v>
          </cell>
          <cell r="B349">
            <v>122880000</v>
          </cell>
        </row>
        <row r="350">
          <cell r="A350">
            <v>53020020003</v>
          </cell>
          <cell r="B350">
            <v>50540000</v>
          </cell>
        </row>
        <row r="351">
          <cell r="A351">
            <v>53020020004</v>
          </cell>
          <cell r="B351">
            <v>77420000</v>
          </cell>
        </row>
        <row r="352">
          <cell r="A352">
            <v>53020030001</v>
          </cell>
          <cell r="B352">
            <v>105270000</v>
          </cell>
        </row>
        <row r="353">
          <cell r="A353">
            <v>53020030002</v>
          </cell>
          <cell r="B353">
            <v>61440000</v>
          </cell>
        </row>
        <row r="354">
          <cell r="A354">
            <v>53020030003</v>
          </cell>
          <cell r="B354">
            <v>75270000</v>
          </cell>
        </row>
        <row r="355">
          <cell r="A355">
            <v>53020030004</v>
          </cell>
          <cell r="B355">
            <v>383820000</v>
          </cell>
        </row>
        <row r="356">
          <cell r="A356">
            <v>53020030005</v>
          </cell>
          <cell r="B356">
            <v>45486000</v>
          </cell>
        </row>
        <row r="357">
          <cell r="A357">
            <v>53020030006</v>
          </cell>
          <cell r="B357">
            <v>50540000</v>
          </cell>
        </row>
        <row r="358">
          <cell r="A358">
            <v>53020030007</v>
          </cell>
          <cell r="B358">
            <v>165562000</v>
          </cell>
        </row>
        <row r="359">
          <cell r="A359">
            <v>53020030008</v>
          </cell>
          <cell r="B359">
            <v>48880000</v>
          </cell>
        </row>
        <row r="360">
          <cell r="A360">
            <v>53020040001</v>
          </cell>
          <cell r="B360">
            <v>200000000</v>
          </cell>
        </row>
        <row r="361">
          <cell r="A361">
            <v>53020040002</v>
          </cell>
          <cell r="B361">
            <v>617355900</v>
          </cell>
        </row>
        <row r="362">
          <cell r="A362">
            <v>53030010003</v>
          </cell>
          <cell r="B362">
            <v>3640132010</v>
          </cell>
        </row>
        <row r="363">
          <cell r="A363">
            <v>53030030006</v>
          </cell>
          <cell r="B363">
            <v>4896791005</v>
          </cell>
        </row>
        <row r="364">
          <cell r="A364">
            <v>53030040001</v>
          </cell>
          <cell r="B364">
            <v>374490000</v>
          </cell>
        </row>
        <row r="365">
          <cell r="A365">
            <v>53030040002</v>
          </cell>
          <cell r="B365">
            <v>394198000</v>
          </cell>
        </row>
        <row r="366">
          <cell r="A366">
            <v>53040010002</v>
          </cell>
          <cell r="B366">
            <v>2013307962</v>
          </cell>
        </row>
        <row r="367">
          <cell r="A367">
            <v>53040010003</v>
          </cell>
          <cell r="B367">
            <v>887889178</v>
          </cell>
        </row>
        <row r="368">
          <cell r="A368">
            <v>53040010004</v>
          </cell>
          <cell r="B368">
            <v>393000816</v>
          </cell>
        </row>
        <row r="369">
          <cell r="A369">
            <v>53040020003</v>
          </cell>
          <cell r="B369">
            <v>1000000000</v>
          </cell>
        </row>
        <row r="370">
          <cell r="A370">
            <v>53040020006</v>
          </cell>
          <cell r="B370">
            <v>1123217800</v>
          </cell>
        </row>
        <row r="371">
          <cell r="A371">
            <v>53040030001</v>
          </cell>
          <cell r="B371">
            <v>41910000</v>
          </cell>
        </row>
        <row r="372">
          <cell r="A372">
            <v>53040030003</v>
          </cell>
          <cell r="B372">
            <v>74730218604</v>
          </cell>
        </row>
        <row r="373">
          <cell r="A373">
            <v>53040030011</v>
          </cell>
          <cell r="B373">
            <v>83305594313</v>
          </cell>
        </row>
        <row r="374">
          <cell r="A374">
            <v>53040030012</v>
          </cell>
          <cell r="B374">
            <v>8791790424</v>
          </cell>
        </row>
        <row r="375">
          <cell r="A375">
            <v>53040030013</v>
          </cell>
          <cell r="B375">
            <v>14350284630</v>
          </cell>
        </row>
        <row r="376">
          <cell r="A376">
            <v>53040040003</v>
          </cell>
          <cell r="B376">
            <v>7503305219</v>
          </cell>
        </row>
        <row r="377">
          <cell r="A377">
            <v>53040040004</v>
          </cell>
          <cell r="B377">
            <v>124627682956</v>
          </cell>
        </row>
        <row r="378">
          <cell r="A378">
            <v>53040040005</v>
          </cell>
          <cell r="B378">
            <v>759952691</v>
          </cell>
        </row>
        <row r="379">
          <cell r="A379">
            <v>53040040006</v>
          </cell>
          <cell r="B379">
            <v>3484657556</v>
          </cell>
        </row>
        <row r="380">
          <cell r="A380">
            <v>53040040007</v>
          </cell>
          <cell r="B380">
            <v>1000000000</v>
          </cell>
        </row>
        <row r="381">
          <cell r="A381">
            <v>53040050001</v>
          </cell>
          <cell r="B381">
            <v>6509258000</v>
          </cell>
        </row>
        <row r="382">
          <cell r="A382">
            <v>53040050002</v>
          </cell>
          <cell r="B382">
            <v>4869107501</v>
          </cell>
        </row>
        <row r="383">
          <cell r="A383">
            <v>53040050003</v>
          </cell>
          <cell r="B383">
            <v>19090635200</v>
          </cell>
        </row>
        <row r="384">
          <cell r="A384">
            <v>53040050005</v>
          </cell>
          <cell r="B384">
            <v>1056278070</v>
          </cell>
        </row>
        <row r="385">
          <cell r="A385">
            <v>53040050006</v>
          </cell>
          <cell r="B385">
            <v>1681818000</v>
          </cell>
        </row>
        <row r="386">
          <cell r="A386">
            <v>53040050007</v>
          </cell>
          <cell r="B386">
            <v>283997659</v>
          </cell>
        </row>
        <row r="387">
          <cell r="A387">
            <v>53040050009</v>
          </cell>
          <cell r="B387">
            <v>1199224400</v>
          </cell>
        </row>
        <row r="388">
          <cell r="A388">
            <v>53040050010</v>
          </cell>
          <cell r="B388">
            <v>1020254000</v>
          </cell>
        </row>
        <row r="389">
          <cell r="A389">
            <v>53040050011</v>
          </cell>
          <cell r="B389">
            <v>314533800</v>
          </cell>
        </row>
        <row r="390">
          <cell r="A390">
            <v>53040050012</v>
          </cell>
          <cell r="B390">
            <v>979168000</v>
          </cell>
        </row>
        <row r="391">
          <cell r="A391">
            <v>53050010001</v>
          </cell>
          <cell r="B391">
            <v>2271106261</v>
          </cell>
        </row>
        <row r="392">
          <cell r="A392">
            <v>53050010002</v>
          </cell>
          <cell r="B392">
            <v>161854000</v>
          </cell>
        </row>
        <row r="393">
          <cell r="A393">
            <v>53050010003</v>
          </cell>
          <cell r="B393">
            <v>172588000</v>
          </cell>
        </row>
        <row r="394">
          <cell r="A394">
            <v>53050010004</v>
          </cell>
          <cell r="B394">
            <v>215861539</v>
          </cell>
        </row>
        <row r="395">
          <cell r="A395">
            <v>53050010005</v>
          </cell>
          <cell r="B395">
            <v>100480000</v>
          </cell>
        </row>
        <row r="396">
          <cell r="A396">
            <v>53050010006</v>
          </cell>
          <cell r="B396">
            <v>25270000</v>
          </cell>
        </row>
        <row r="397">
          <cell r="A397">
            <v>53050010007</v>
          </cell>
          <cell r="B397">
            <v>30324000</v>
          </cell>
        </row>
        <row r="398">
          <cell r="A398">
            <v>53050020001</v>
          </cell>
          <cell r="B398">
            <v>291826386</v>
          </cell>
        </row>
        <row r="399">
          <cell r="A399">
            <v>53050020002</v>
          </cell>
          <cell r="B399">
            <v>1276497960</v>
          </cell>
        </row>
        <row r="400">
          <cell r="A400">
            <v>53050020003</v>
          </cell>
          <cell r="B400">
            <v>3617228218</v>
          </cell>
        </row>
        <row r="401">
          <cell r="A401">
            <v>53050020004</v>
          </cell>
          <cell r="B401">
            <v>3027000000</v>
          </cell>
        </row>
        <row r="402">
          <cell r="A402">
            <v>53050020007</v>
          </cell>
          <cell r="B402">
            <v>575649140</v>
          </cell>
        </row>
        <row r="403">
          <cell r="A403">
            <v>53050020008</v>
          </cell>
          <cell r="B403">
            <v>612254000</v>
          </cell>
        </row>
        <row r="404">
          <cell r="A404">
            <v>53050020009</v>
          </cell>
          <cell r="B404">
            <v>3000000000</v>
          </cell>
        </row>
        <row r="405">
          <cell r="A405">
            <v>53050020011</v>
          </cell>
          <cell r="B405">
            <v>1512453043</v>
          </cell>
        </row>
        <row r="406">
          <cell r="A406">
            <v>53050020012</v>
          </cell>
          <cell r="B406">
            <v>480000000</v>
          </cell>
        </row>
        <row r="407">
          <cell r="A407">
            <v>53050020013</v>
          </cell>
          <cell r="B407">
            <v>246462440</v>
          </cell>
        </row>
        <row r="408">
          <cell r="A408">
            <v>53050020014</v>
          </cell>
          <cell r="B408">
            <v>55594000</v>
          </cell>
        </row>
        <row r="409">
          <cell r="A409">
            <v>53050020015</v>
          </cell>
          <cell r="B409">
            <v>250000000</v>
          </cell>
        </row>
        <row r="410">
          <cell r="A410">
            <v>53050030001</v>
          </cell>
          <cell r="B410">
            <v>27269660776</v>
          </cell>
        </row>
        <row r="411">
          <cell r="A411">
            <v>53050030002</v>
          </cell>
          <cell r="B411">
            <v>847450000</v>
          </cell>
        </row>
        <row r="412">
          <cell r="A412">
            <v>53050030003</v>
          </cell>
          <cell r="B412">
            <v>1718886200</v>
          </cell>
        </row>
        <row r="413">
          <cell r="A413">
            <v>54010010001</v>
          </cell>
          <cell r="B413">
            <v>6359000</v>
          </cell>
        </row>
        <row r="414">
          <cell r="A414">
            <v>54010010002</v>
          </cell>
          <cell r="B414">
            <v>93124000</v>
          </cell>
        </row>
        <row r="415">
          <cell r="A415">
            <v>54010010003</v>
          </cell>
          <cell r="B415">
            <v>506011172</v>
          </cell>
        </row>
        <row r="416">
          <cell r="A416">
            <v>54010010005</v>
          </cell>
          <cell r="B416">
            <v>597427000</v>
          </cell>
        </row>
        <row r="417">
          <cell r="A417">
            <v>54010010006</v>
          </cell>
          <cell r="B417">
            <v>37680000</v>
          </cell>
        </row>
        <row r="418">
          <cell r="A418">
            <v>54010010009</v>
          </cell>
          <cell r="B418">
            <v>75360000</v>
          </cell>
        </row>
        <row r="419">
          <cell r="A419">
            <v>54010010012</v>
          </cell>
          <cell r="B419">
            <v>3301184000</v>
          </cell>
        </row>
        <row r="420">
          <cell r="A420">
            <v>54010020001</v>
          </cell>
          <cell r="B420">
            <v>342412000</v>
          </cell>
        </row>
        <row r="421">
          <cell r="A421">
            <v>54010020002</v>
          </cell>
          <cell r="B421">
            <v>234971000</v>
          </cell>
        </row>
        <row r="422">
          <cell r="A422">
            <v>54010020003</v>
          </cell>
          <cell r="B422">
            <v>344226000</v>
          </cell>
        </row>
        <row r="423">
          <cell r="A423">
            <v>54010020004</v>
          </cell>
          <cell r="B423">
            <v>1738000000</v>
          </cell>
        </row>
        <row r="424">
          <cell r="A424">
            <v>54020010001</v>
          </cell>
          <cell r="B424">
            <v>300000000</v>
          </cell>
        </row>
        <row r="425">
          <cell r="A425">
            <v>54020010002</v>
          </cell>
          <cell r="B425">
            <v>200000000</v>
          </cell>
        </row>
        <row r="426">
          <cell r="A426">
            <v>54020010003</v>
          </cell>
          <cell r="B426">
            <v>300000000</v>
          </cell>
        </row>
        <row r="427">
          <cell r="A427">
            <v>54020010004</v>
          </cell>
          <cell r="B427">
            <v>83550600</v>
          </cell>
        </row>
        <row r="428">
          <cell r="A428">
            <v>54020010005</v>
          </cell>
          <cell r="B428">
            <v>2847869400</v>
          </cell>
        </row>
        <row r="429">
          <cell r="A429">
            <v>54020010006</v>
          </cell>
          <cell r="B429">
            <v>4822082164</v>
          </cell>
        </row>
        <row r="430">
          <cell r="A430">
            <v>54020010007</v>
          </cell>
          <cell r="B430">
            <v>5077111192</v>
          </cell>
        </row>
        <row r="431">
          <cell r="A431">
            <v>54020010008</v>
          </cell>
          <cell r="B431">
            <v>2341530000</v>
          </cell>
        </row>
        <row r="432">
          <cell r="A432">
            <v>54020010010</v>
          </cell>
          <cell r="B432">
            <v>300000000</v>
          </cell>
        </row>
        <row r="433">
          <cell r="A433">
            <v>54020010012</v>
          </cell>
          <cell r="B433">
            <v>71933400</v>
          </cell>
        </row>
        <row r="434">
          <cell r="A434">
            <v>54020010013</v>
          </cell>
          <cell r="B434">
            <v>109845480</v>
          </cell>
        </row>
        <row r="435">
          <cell r="A435">
            <v>54020010014</v>
          </cell>
          <cell r="B435">
            <v>560742000</v>
          </cell>
        </row>
        <row r="436">
          <cell r="A436">
            <v>54020010017</v>
          </cell>
          <cell r="B436">
            <v>58854600</v>
          </cell>
        </row>
        <row r="437">
          <cell r="A437">
            <v>54020010018</v>
          </cell>
          <cell r="B437">
            <v>55219640</v>
          </cell>
        </row>
        <row r="438">
          <cell r="A438">
            <v>54020010020</v>
          </cell>
          <cell r="B438">
            <v>22194900</v>
          </cell>
        </row>
        <row r="439">
          <cell r="A439">
            <v>54020010021</v>
          </cell>
          <cell r="B439">
            <v>1431000000</v>
          </cell>
        </row>
        <row r="440">
          <cell r="A440">
            <v>54020010022</v>
          </cell>
          <cell r="B440">
            <v>1100267280</v>
          </cell>
        </row>
        <row r="441">
          <cell r="A441">
            <v>54020010023</v>
          </cell>
          <cell r="B441">
            <v>63680400</v>
          </cell>
        </row>
        <row r="442">
          <cell r="A442">
            <v>54020010024</v>
          </cell>
          <cell r="B442">
            <v>61840200</v>
          </cell>
        </row>
        <row r="443">
          <cell r="A443">
            <v>54020010025</v>
          </cell>
          <cell r="B443">
            <v>120991500</v>
          </cell>
        </row>
        <row r="444">
          <cell r="A444">
            <v>54020010026</v>
          </cell>
          <cell r="B444">
            <v>774361000</v>
          </cell>
        </row>
        <row r="445">
          <cell r="A445">
            <v>54020010027</v>
          </cell>
          <cell r="B445">
            <v>220571120</v>
          </cell>
        </row>
        <row r="446">
          <cell r="A446">
            <v>54020010028</v>
          </cell>
          <cell r="B446">
            <v>3805008000</v>
          </cell>
        </row>
        <row r="447">
          <cell r="A447">
            <v>54020010029</v>
          </cell>
          <cell r="B447">
            <v>72746305</v>
          </cell>
        </row>
        <row r="448">
          <cell r="A448">
            <v>54020010030</v>
          </cell>
          <cell r="B448">
            <v>336731720</v>
          </cell>
        </row>
        <row r="449">
          <cell r="A449">
            <v>54020010031</v>
          </cell>
          <cell r="B449">
            <v>54028800</v>
          </cell>
        </row>
        <row r="450">
          <cell r="A450">
            <v>54020010032</v>
          </cell>
          <cell r="B450">
            <v>392569000</v>
          </cell>
        </row>
        <row r="451">
          <cell r="A451">
            <v>54020010033</v>
          </cell>
          <cell r="B451">
            <v>201656700</v>
          </cell>
        </row>
        <row r="452">
          <cell r="A452">
            <v>54020010034</v>
          </cell>
          <cell r="B452">
            <v>139897800</v>
          </cell>
        </row>
        <row r="453">
          <cell r="A453">
            <v>54020010035</v>
          </cell>
          <cell r="B453">
            <v>24241680084</v>
          </cell>
        </row>
        <row r="454">
          <cell r="A454">
            <v>54020010038</v>
          </cell>
          <cell r="B454">
            <v>453137096</v>
          </cell>
        </row>
        <row r="455">
          <cell r="A455">
            <v>54020010039</v>
          </cell>
          <cell r="B455">
            <v>1482361000</v>
          </cell>
        </row>
        <row r="456">
          <cell r="A456">
            <v>54020010041</v>
          </cell>
          <cell r="B456">
            <v>541647680</v>
          </cell>
        </row>
        <row r="457">
          <cell r="A457">
            <v>54020010042</v>
          </cell>
          <cell r="B457">
            <v>1280030000</v>
          </cell>
        </row>
        <row r="458">
          <cell r="A458">
            <v>54020010043</v>
          </cell>
          <cell r="B458">
            <v>4330897200</v>
          </cell>
        </row>
        <row r="459">
          <cell r="A459">
            <v>54020010044</v>
          </cell>
          <cell r="B459">
            <v>200000000</v>
          </cell>
        </row>
        <row r="460">
          <cell r="A460">
            <v>54020010045</v>
          </cell>
          <cell r="B460">
            <v>1500000000</v>
          </cell>
        </row>
        <row r="461">
          <cell r="A461">
            <v>54020010046</v>
          </cell>
          <cell r="B461">
            <v>54028800</v>
          </cell>
        </row>
        <row r="462">
          <cell r="A462">
            <v>54020020001</v>
          </cell>
          <cell r="B462">
            <v>45486000</v>
          </cell>
        </row>
        <row r="463">
          <cell r="A463">
            <v>54020020002</v>
          </cell>
          <cell r="B463">
            <v>937040000</v>
          </cell>
        </row>
        <row r="464">
          <cell r="A464">
            <v>54020020003</v>
          </cell>
          <cell r="B464">
            <v>299712000</v>
          </cell>
        </row>
        <row r="465">
          <cell r="A465">
            <v>54020020004</v>
          </cell>
          <cell r="B465">
            <v>7000000000</v>
          </cell>
        </row>
        <row r="466">
          <cell r="A466">
            <v>54020020005</v>
          </cell>
          <cell r="B466">
            <v>483664000</v>
          </cell>
        </row>
        <row r="467">
          <cell r="A467">
            <v>54020020006</v>
          </cell>
          <cell r="B467">
            <v>254364000</v>
          </cell>
        </row>
        <row r="468">
          <cell r="A468">
            <v>54020020007</v>
          </cell>
          <cell r="B468">
            <v>546792669</v>
          </cell>
        </row>
        <row r="469">
          <cell r="A469">
            <v>54020020008</v>
          </cell>
          <cell r="B469">
            <v>511429689</v>
          </cell>
        </row>
        <row r="470">
          <cell r="A470">
            <v>54020020009</v>
          </cell>
          <cell r="B470">
            <v>95276000</v>
          </cell>
        </row>
        <row r="471">
          <cell r="A471">
            <v>54020020010</v>
          </cell>
          <cell r="B471">
            <v>37680000</v>
          </cell>
        </row>
        <row r="472">
          <cell r="A472">
            <v>54020020011</v>
          </cell>
          <cell r="B472">
            <v>85921000</v>
          </cell>
        </row>
        <row r="473">
          <cell r="A473">
            <v>54020020012</v>
          </cell>
          <cell r="B473">
            <v>150000000</v>
          </cell>
        </row>
        <row r="474">
          <cell r="A474">
            <v>54020020014</v>
          </cell>
          <cell r="B474">
            <v>181604686</v>
          </cell>
        </row>
        <row r="475">
          <cell r="A475">
            <v>54020020015</v>
          </cell>
          <cell r="B475">
            <v>400831000</v>
          </cell>
        </row>
        <row r="476">
          <cell r="A476">
            <v>54020020016</v>
          </cell>
          <cell r="B476">
            <v>585675625</v>
          </cell>
        </row>
        <row r="477">
          <cell r="A477">
            <v>54020020017</v>
          </cell>
          <cell r="B477">
            <v>191156220</v>
          </cell>
        </row>
        <row r="478">
          <cell r="A478">
            <v>54020020018</v>
          </cell>
          <cell r="B478">
            <v>1780758363</v>
          </cell>
        </row>
        <row r="479">
          <cell r="A479">
            <v>54020020019</v>
          </cell>
          <cell r="B479">
            <v>269495820</v>
          </cell>
        </row>
        <row r="480">
          <cell r="A480">
            <v>54020020020</v>
          </cell>
          <cell r="B480">
            <v>369192451</v>
          </cell>
        </row>
        <row r="481">
          <cell r="A481">
            <v>54020020021</v>
          </cell>
          <cell r="B481">
            <v>559625387</v>
          </cell>
        </row>
        <row r="482">
          <cell r="A482">
            <v>54020020022</v>
          </cell>
          <cell r="B482">
            <v>45486000</v>
          </cell>
        </row>
        <row r="483">
          <cell r="A483">
            <v>54020020023</v>
          </cell>
          <cell r="B483">
            <v>25270000</v>
          </cell>
        </row>
        <row r="484">
          <cell r="A484">
            <v>54020020024</v>
          </cell>
          <cell r="B484">
            <v>344055020</v>
          </cell>
        </row>
        <row r="485">
          <cell r="A485">
            <v>54020020025</v>
          </cell>
          <cell r="B485">
            <v>7065900886</v>
          </cell>
        </row>
        <row r="486">
          <cell r="A486">
            <v>54020030001</v>
          </cell>
          <cell r="B486">
            <v>145023900</v>
          </cell>
        </row>
        <row r="487">
          <cell r="A487">
            <v>54020030002</v>
          </cell>
          <cell r="B487">
            <v>2810919460</v>
          </cell>
        </row>
        <row r="488">
          <cell r="A488">
            <v>54020030003</v>
          </cell>
          <cell r="B488">
            <v>96108000</v>
          </cell>
        </row>
        <row r="489">
          <cell r="A489">
            <v>54020030004</v>
          </cell>
          <cell r="B489">
            <v>37500680</v>
          </cell>
        </row>
        <row r="490">
          <cell r="A490">
            <v>54020030005</v>
          </cell>
          <cell r="B490">
            <v>78867180</v>
          </cell>
        </row>
        <row r="491">
          <cell r="A491">
            <v>54020030006</v>
          </cell>
          <cell r="B491">
            <v>1105255248</v>
          </cell>
        </row>
        <row r="492">
          <cell r="A492">
            <v>54020030008</v>
          </cell>
          <cell r="B492">
            <v>219970000</v>
          </cell>
        </row>
        <row r="493">
          <cell r="A493">
            <v>54020030009</v>
          </cell>
          <cell r="B493">
            <v>392656771</v>
          </cell>
        </row>
        <row r="494">
          <cell r="A494">
            <v>54020030012</v>
          </cell>
          <cell r="B494">
            <v>423533600</v>
          </cell>
        </row>
        <row r="495">
          <cell r="A495">
            <v>54020030013</v>
          </cell>
          <cell r="B495">
            <v>1344578200</v>
          </cell>
        </row>
        <row r="496">
          <cell r="A496">
            <v>54020030014</v>
          </cell>
          <cell r="B496">
            <v>134561700</v>
          </cell>
        </row>
        <row r="497">
          <cell r="A497">
            <v>54020030016</v>
          </cell>
          <cell r="B497">
            <v>37210000</v>
          </cell>
        </row>
        <row r="498">
          <cell r="A498">
            <v>54020030017</v>
          </cell>
          <cell r="B498">
            <v>300000000</v>
          </cell>
        </row>
        <row r="499">
          <cell r="A499">
            <v>54020030019</v>
          </cell>
          <cell r="B499">
            <v>842799000</v>
          </cell>
        </row>
        <row r="500">
          <cell r="A500">
            <v>54020030020</v>
          </cell>
          <cell r="B500">
            <v>1512257586</v>
          </cell>
        </row>
        <row r="501">
          <cell r="A501">
            <v>54020040001</v>
          </cell>
          <cell r="B501">
            <v>4184967831</v>
          </cell>
        </row>
        <row r="502">
          <cell r="A502">
            <v>54020040002</v>
          </cell>
          <cell r="B502">
            <v>5476522671</v>
          </cell>
        </row>
        <row r="503">
          <cell r="A503">
            <v>54020040003</v>
          </cell>
          <cell r="B503">
            <v>10230978564</v>
          </cell>
        </row>
        <row r="504">
          <cell r="A504">
            <v>54020040006</v>
          </cell>
          <cell r="B504">
            <v>3355428689</v>
          </cell>
        </row>
        <row r="505">
          <cell r="A505">
            <v>54020040007</v>
          </cell>
          <cell r="B505">
            <v>1950000000</v>
          </cell>
        </row>
        <row r="506">
          <cell r="A506">
            <v>54020040008</v>
          </cell>
          <cell r="B506">
            <v>14191184942</v>
          </cell>
        </row>
        <row r="507">
          <cell r="A507">
            <v>54020040009</v>
          </cell>
          <cell r="B507">
            <v>1643548000</v>
          </cell>
        </row>
        <row r="508">
          <cell r="A508">
            <v>54020040011</v>
          </cell>
          <cell r="B508">
            <v>1355070000</v>
          </cell>
        </row>
        <row r="509">
          <cell r="A509">
            <v>54030010001</v>
          </cell>
          <cell r="B509">
            <v>1845806000</v>
          </cell>
        </row>
        <row r="510">
          <cell r="A510">
            <v>54030010002</v>
          </cell>
          <cell r="B510">
            <v>583044000</v>
          </cell>
        </row>
        <row r="511">
          <cell r="A511">
            <v>54030010003</v>
          </cell>
          <cell r="B511">
            <v>231286000</v>
          </cell>
        </row>
        <row r="512">
          <cell r="A512">
            <v>54030010005</v>
          </cell>
          <cell r="B512">
            <v>960396000</v>
          </cell>
        </row>
        <row r="513">
          <cell r="A513">
            <v>54030010006</v>
          </cell>
          <cell r="B513">
            <v>137832000</v>
          </cell>
        </row>
        <row r="514">
          <cell r="A514">
            <v>54030010007</v>
          </cell>
          <cell r="B514">
            <v>293314000</v>
          </cell>
        </row>
        <row r="515">
          <cell r="A515">
            <v>54030010008</v>
          </cell>
          <cell r="B515">
            <v>1218225250</v>
          </cell>
        </row>
        <row r="516">
          <cell r="A516">
            <v>54030010010</v>
          </cell>
          <cell r="B516">
            <v>1390449505</v>
          </cell>
        </row>
        <row r="517">
          <cell r="A517">
            <v>54030010011</v>
          </cell>
          <cell r="B517">
            <v>6000000000</v>
          </cell>
        </row>
        <row r="518">
          <cell r="A518">
            <v>54030010013</v>
          </cell>
          <cell r="B518">
            <v>58854600</v>
          </cell>
        </row>
        <row r="519">
          <cell r="A519">
            <v>54030020001</v>
          </cell>
          <cell r="B519">
            <v>178846080</v>
          </cell>
        </row>
        <row r="520">
          <cell r="A520">
            <v>54030020002</v>
          </cell>
          <cell r="B520">
            <v>117246000</v>
          </cell>
        </row>
        <row r="521">
          <cell r="A521">
            <v>54030020003</v>
          </cell>
          <cell r="B521">
            <v>1135165740</v>
          </cell>
        </row>
        <row r="522">
          <cell r="A522">
            <v>54030020004</v>
          </cell>
          <cell r="B522">
            <v>2385721670</v>
          </cell>
        </row>
        <row r="523">
          <cell r="A523">
            <v>54030020005</v>
          </cell>
          <cell r="B523">
            <v>284447549</v>
          </cell>
        </row>
        <row r="524">
          <cell r="A524">
            <v>54030020006</v>
          </cell>
          <cell r="B524">
            <v>108718560</v>
          </cell>
        </row>
        <row r="525">
          <cell r="A525">
            <v>54030020007</v>
          </cell>
          <cell r="B525">
            <v>124909100</v>
          </cell>
        </row>
        <row r="526">
          <cell r="A526">
            <v>54010010007</v>
          </cell>
          <cell r="B526">
            <v>25270000</v>
          </cell>
        </row>
        <row r="527">
          <cell r="A527">
            <v>54010010011</v>
          </cell>
          <cell r="B527">
            <v>856000000</v>
          </cell>
        </row>
        <row r="528">
          <cell r="A528">
            <v>54020030018</v>
          </cell>
          <cell r="B528">
            <v>250705148</v>
          </cell>
        </row>
        <row r="529">
          <cell r="A529">
            <v>52010040001</v>
          </cell>
          <cell r="B529">
            <v>3283399046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inámica 3"/>
      <sheetName val="Tabla dinámica 2"/>
      <sheetName val="Hoja 1"/>
      <sheetName val="51"/>
      <sheetName val="52"/>
      <sheetName val="53"/>
      <sheetName val="54"/>
      <sheetName val="Linea Programa"/>
      <sheetName val="Met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4"/>
  <sheetViews>
    <sheetView showGridLines="0" tabSelected="1" zoomScale="96" zoomScaleNormal="90" zoomScaleSheetLayoutView="40" workbookViewId="0">
      <pane ySplit="7" topLeftCell="A8" activePane="bottomLeft" state="frozen"/>
      <selection sqref="A1:C1"/>
      <selection pane="bottomLeft" activeCell="A2" sqref="A2"/>
    </sheetView>
  </sheetViews>
  <sheetFormatPr baseColWidth="10" defaultColWidth="11.44140625" defaultRowHeight="13.8" x14ac:dyDescent="0.3"/>
  <cols>
    <col min="1" max="1" width="10.77734375" style="4" customWidth="1"/>
    <col min="2" max="2" width="11.44140625" style="4" customWidth="1"/>
    <col min="3" max="3" width="9.6640625" style="4" customWidth="1"/>
    <col min="4" max="4" width="10.44140625" style="4" customWidth="1"/>
    <col min="5" max="5" width="8.109375" style="4" customWidth="1"/>
    <col min="6" max="8" width="7.6640625" style="4" customWidth="1"/>
    <col min="9" max="9" width="8.6640625" style="4" customWidth="1"/>
    <col min="10" max="10" width="13.88671875" style="4" customWidth="1"/>
    <col min="11" max="11" width="25.6640625" style="5" customWidth="1"/>
    <col min="12" max="12" width="28.88671875" style="6" customWidth="1"/>
    <col min="13" max="13" width="10.5546875" style="6" customWidth="1"/>
    <col min="14" max="15" width="10.33203125" style="6" customWidth="1"/>
    <col min="16" max="16" width="20.6640625" style="6" customWidth="1"/>
    <col min="17" max="20" width="9.33203125" style="1" customWidth="1"/>
    <col min="21" max="21" width="7.6640625" style="7" customWidth="1"/>
    <col min="22" max="22" width="8.44140625" style="7" customWidth="1"/>
    <col min="23" max="25" width="7.6640625" style="1" customWidth="1"/>
    <col min="26" max="26" width="7.5546875" style="1" customWidth="1"/>
    <col min="27" max="30" width="12.5546875" style="1" customWidth="1"/>
    <col min="31" max="31" width="13.88671875" style="1" customWidth="1"/>
    <col min="32" max="32" width="25.6640625" style="1" customWidth="1"/>
    <col min="33" max="16384" width="11.44140625" style="1"/>
  </cols>
  <sheetData>
    <row r="1" spans="1:33" ht="100.05" customHeigh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3" spans="1:33" ht="15.6" x14ac:dyDescent="0.3">
      <c r="A3" s="15" t="s">
        <v>64</v>
      </c>
      <c r="B3" s="16">
        <v>51</v>
      </c>
      <c r="C3" s="15" t="s">
        <v>102</v>
      </c>
      <c r="E3" s="10"/>
      <c r="F3" s="10"/>
      <c r="G3" s="10"/>
      <c r="H3" s="10"/>
      <c r="I3" s="10"/>
      <c r="J3" s="11"/>
    </row>
    <row r="4" spans="1:33" ht="15.6" x14ac:dyDescent="0.3">
      <c r="A4" s="72" t="s">
        <v>2452</v>
      </c>
      <c r="B4" s="11"/>
      <c r="C4" s="79">
        <v>9.9749999999999996</v>
      </c>
      <c r="D4" s="72"/>
      <c r="E4" s="72"/>
      <c r="F4" s="72"/>
      <c r="G4" s="72"/>
      <c r="H4" s="72"/>
      <c r="I4" s="72"/>
      <c r="J4" s="11"/>
    </row>
    <row r="6" spans="1:33" s="2" customFormat="1" ht="24" customHeight="1" x14ac:dyDescent="0.3">
      <c r="A6" s="151" t="s">
        <v>65</v>
      </c>
      <c r="B6" s="154" t="s">
        <v>100</v>
      </c>
      <c r="C6" s="151" t="s">
        <v>0</v>
      </c>
      <c r="D6" s="154" t="s">
        <v>9</v>
      </c>
      <c r="E6" s="158" t="s">
        <v>52</v>
      </c>
      <c r="F6" s="158"/>
      <c r="G6" s="158"/>
      <c r="H6" s="158"/>
      <c r="I6" s="158"/>
      <c r="J6" s="151" t="s">
        <v>3</v>
      </c>
      <c r="K6" s="151" t="s">
        <v>6</v>
      </c>
      <c r="L6" s="151" t="s">
        <v>7</v>
      </c>
      <c r="M6" s="151" t="s">
        <v>61</v>
      </c>
      <c r="N6" s="151" t="s">
        <v>1</v>
      </c>
      <c r="O6" s="151" t="s">
        <v>8</v>
      </c>
      <c r="P6" s="151" t="s">
        <v>2</v>
      </c>
      <c r="Q6" s="151" t="s">
        <v>1</v>
      </c>
      <c r="R6" s="154" t="s">
        <v>67</v>
      </c>
      <c r="S6" s="154" t="s">
        <v>66</v>
      </c>
      <c r="T6" s="154" t="s">
        <v>60</v>
      </c>
      <c r="U6" s="151" t="s">
        <v>101</v>
      </c>
      <c r="V6" s="151" t="s">
        <v>12</v>
      </c>
      <c r="W6" s="153" t="s">
        <v>10</v>
      </c>
      <c r="X6" s="153"/>
      <c r="Y6" s="153"/>
      <c r="Z6" s="153"/>
      <c r="AA6" s="153" t="s">
        <v>11</v>
      </c>
      <c r="AB6" s="153"/>
      <c r="AC6" s="153"/>
      <c r="AD6" s="153"/>
      <c r="AE6" s="153"/>
      <c r="AF6" s="151" t="s">
        <v>4</v>
      </c>
    </row>
    <row r="7" spans="1:33" s="2" customFormat="1" ht="26.25" customHeight="1" x14ac:dyDescent="0.3">
      <c r="A7" s="152"/>
      <c r="B7" s="155"/>
      <c r="C7" s="152"/>
      <c r="D7" s="155"/>
      <c r="E7" s="18">
        <v>2020</v>
      </c>
      <c r="F7" s="18">
        <v>2021</v>
      </c>
      <c r="G7" s="18">
        <v>2022</v>
      </c>
      <c r="H7" s="18">
        <v>2023</v>
      </c>
      <c r="I7" s="18" t="s">
        <v>68</v>
      </c>
      <c r="J7" s="152"/>
      <c r="K7" s="152"/>
      <c r="L7" s="152"/>
      <c r="M7" s="152"/>
      <c r="N7" s="152"/>
      <c r="O7" s="152"/>
      <c r="P7" s="152"/>
      <c r="Q7" s="152"/>
      <c r="R7" s="155"/>
      <c r="S7" s="155"/>
      <c r="T7" s="155"/>
      <c r="U7" s="152"/>
      <c r="V7" s="152"/>
      <c r="W7" s="70" t="s">
        <v>69</v>
      </c>
      <c r="X7" s="70" t="s">
        <v>70</v>
      </c>
      <c r="Y7" s="70" t="s">
        <v>71</v>
      </c>
      <c r="Z7" s="106" t="s">
        <v>72</v>
      </c>
      <c r="AA7" s="70" t="s">
        <v>73</v>
      </c>
      <c r="AB7" s="70" t="s">
        <v>74</v>
      </c>
      <c r="AC7" s="70" t="s">
        <v>75</v>
      </c>
      <c r="AD7" s="70" t="s">
        <v>76</v>
      </c>
      <c r="AE7" s="70" t="s">
        <v>77</v>
      </c>
      <c r="AF7" s="152"/>
    </row>
    <row r="8" spans="1:33" ht="82.8" x14ac:dyDescent="0.3">
      <c r="A8" s="157" t="s">
        <v>103</v>
      </c>
      <c r="B8" s="156">
        <v>30.362000000000002</v>
      </c>
      <c r="C8" s="157" t="s">
        <v>104</v>
      </c>
      <c r="D8" s="156">
        <v>100</v>
      </c>
      <c r="E8" s="34">
        <v>4.1950000000000003</v>
      </c>
      <c r="F8" s="34">
        <f>4.9+1.087</f>
        <v>5.9870000000000001</v>
      </c>
      <c r="G8" s="76">
        <f>13.058-2.5-1.5-2-2-2-1.4</f>
        <v>1.6579999999999999</v>
      </c>
      <c r="H8" s="34">
        <f>8.519-4-1.2-1-0.6-0.4-0.4-0.4-0.519</f>
        <v>0</v>
      </c>
      <c r="I8" s="34">
        <v>7.9369999999999994</v>
      </c>
      <c r="J8" s="20">
        <v>51010010001</v>
      </c>
      <c r="K8" s="23" t="s">
        <v>105</v>
      </c>
      <c r="L8" s="23" t="s">
        <v>106</v>
      </c>
      <c r="M8" s="31" t="s">
        <v>107</v>
      </c>
      <c r="N8" s="46" t="s">
        <v>373</v>
      </c>
      <c r="O8" s="77" t="s">
        <v>381</v>
      </c>
      <c r="P8" s="46" t="s">
        <v>382</v>
      </c>
      <c r="Q8" s="46" t="s">
        <v>373</v>
      </c>
      <c r="R8" s="46">
        <v>9</v>
      </c>
      <c r="S8" s="50">
        <v>39</v>
      </c>
      <c r="T8" s="46">
        <v>17</v>
      </c>
      <c r="U8" s="50">
        <v>0</v>
      </c>
      <c r="V8" s="50">
        <v>1</v>
      </c>
      <c r="W8" s="88">
        <v>0.1</v>
      </c>
      <c r="X8" s="88">
        <v>0.3</v>
      </c>
      <c r="Y8" s="100">
        <v>0.56999999999999995</v>
      </c>
      <c r="Z8" s="121">
        <v>0</v>
      </c>
      <c r="AA8" s="104">
        <v>1920050082</v>
      </c>
      <c r="AB8" s="51">
        <v>1691365118</v>
      </c>
      <c r="AC8" s="51">
        <v>1777884665</v>
      </c>
      <c r="AD8" s="50">
        <v>0</v>
      </c>
      <c r="AE8" s="51">
        <f>SUM(AA8:AD8)</f>
        <v>5389299865</v>
      </c>
      <c r="AF8" s="80" t="s">
        <v>354</v>
      </c>
      <c r="AG8" s="71"/>
    </row>
    <row r="9" spans="1:33" ht="41.4" x14ac:dyDescent="0.3">
      <c r="A9" s="148"/>
      <c r="B9" s="149">
        <v>0</v>
      </c>
      <c r="C9" s="148"/>
      <c r="D9" s="149">
        <v>0</v>
      </c>
      <c r="E9" s="75">
        <v>0</v>
      </c>
      <c r="F9" s="75">
        <v>1.0710000000000002</v>
      </c>
      <c r="G9" s="74">
        <v>1.0940000000000001</v>
      </c>
      <c r="H9" s="75">
        <f>1.11+0.4</f>
        <v>1.5100000000000002</v>
      </c>
      <c r="I9" s="75">
        <v>0.81899999999999995</v>
      </c>
      <c r="J9" s="8">
        <v>51010010002</v>
      </c>
      <c r="K9" s="19" t="s">
        <v>1753</v>
      </c>
      <c r="L9" s="19" t="s">
        <v>108</v>
      </c>
      <c r="M9" s="3" t="s">
        <v>107</v>
      </c>
      <c r="N9" s="22" t="s">
        <v>373</v>
      </c>
      <c r="O9" s="73" t="s">
        <v>381</v>
      </c>
      <c r="P9" s="22" t="s">
        <v>383</v>
      </c>
      <c r="Q9" s="22" t="s">
        <v>373</v>
      </c>
      <c r="R9" s="22">
        <v>9</v>
      </c>
      <c r="S9" s="21">
        <v>33</v>
      </c>
      <c r="T9" s="22">
        <v>5</v>
      </c>
      <c r="U9" s="21">
        <v>32</v>
      </c>
      <c r="V9" s="21">
        <v>44</v>
      </c>
      <c r="W9" s="21">
        <v>0</v>
      </c>
      <c r="X9" s="21">
        <v>36</v>
      </c>
      <c r="Y9" s="94">
        <v>42</v>
      </c>
      <c r="Z9" s="116">
        <v>44</v>
      </c>
      <c r="AA9" s="87">
        <v>0</v>
      </c>
      <c r="AB9" s="29">
        <v>199980849</v>
      </c>
      <c r="AC9" s="29">
        <v>199980849</v>
      </c>
      <c r="AD9" s="21">
        <v>199980849</v>
      </c>
      <c r="AE9" s="29">
        <f t="shared" ref="AE9:AE74" si="0">SUM(AA9:AD9)</f>
        <v>599942547</v>
      </c>
      <c r="AF9" s="68" t="s">
        <v>355</v>
      </c>
      <c r="AG9" s="71"/>
    </row>
    <row r="10" spans="1:33" ht="41.4" x14ac:dyDescent="0.3">
      <c r="A10" s="148"/>
      <c r="B10" s="149">
        <v>0</v>
      </c>
      <c r="C10" s="148"/>
      <c r="D10" s="149">
        <v>0</v>
      </c>
      <c r="E10" s="75">
        <v>0</v>
      </c>
      <c r="F10" s="75">
        <f>1.45-1.45</f>
        <v>0</v>
      </c>
      <c r="G10" s="74">
        <f>3.095-0.8-0.8</f>
        <v>1.4949999999999999</v>
      </c>
      <c r="H10" s="96">
        <f>3.651-3.651+5.329</f>
        <v>5.3289999999999997</v>
      </c>
      <c r="I10" s="75">
        <v>2.0489999999999999</v>
      </c>
      <c r="J10" s="8">
        <v>51010010003</v>
      </c>
      <c r="K10" s="19" t="s">
        <v>109</v>
      </c>
      <c r="L10" s="19" t="s">
        <v>110</v>
      </c>
      <c r="M10" s="3" t="s">
        <v>107</v>
      </c>
      <c r="N10" s="22" t="s">
        <v>373</v>
      </c>
      <c r="O10" s="73" t="s">
        <v>381</v>
      </c>
      <c r="P10" s="22" t="s">
        <v>384</v>
      </c>
      <c r="Q10" s="22" t="s">
        <v>373</v>
      </c>
      <c r="R10" s="22">
        <v>9</v>
      </c>
      <c r="S10" s="21">
        <v>39</v>
      </c>
      <c r="T10" s="22">
        <v>13</v>
      </c>
      <c r="U10" s="21">
        <v>0</v>
      </c>
      <c r="V10" s="21">
        <v>23</v>
      </c>
      <c r="W10" s="21">
        <v>0</v>
      </c>
      <c r="X10" s="22">
        <v>0</v>
      </c>
      <c r="Y10" s="101">
        <v>13</v>
      </c>
      <c r="Z10" s="127">
        <v>23</v>
      </c>
      <c r="AA10" s="87">
        <v>0</v>
      </c>
      <c r="AB10" s="29">
        <v>0</v>
      </c>
      <c r="AC10" s="29">
        <v>42049280</v>
      </c>
      <c r="AD10" s="21">
        <v>1436360000</v>
      </c>
      <c r="AE10" s="29">
        <f t="shared" si="0"/>
        <v>1478409280</v>
      </c>
      <c r="AF10" s="68" t="s">
        <v>354</v>
      </c>
      <c r="AG10" s="71"/>
    </row>
    <row r="11" spans="1:33" ht="69" x14ac:dyDescent="0.3">
      <c r="A11" s="148"/>
      <c r="B11" s="149">
        <v>0</v>
      </c>
      <c r="C11" s="148"/>
      <c r="D11" s="149">
        <v>0</v>
      </c>
      <c r="E11" s="75">
        <v>5.032</v>
      </c>
      <c r="F11" s="75">
        <v>1.5089999999999999</v>
      </c>
      <c r="G11" s="74">
        <v>1.69</v>
      </c>
      <c r="H11" s="75">
        <f>1.853-1.853</f>
        <v>0</v>
      </c>
      <c r="I11" s="75">
        <v>2.1120000000000001</v>
      </c>
      <c r="J11" s="8">
        <v>51010010004</v>
      </c>
      <c r="K11" s="19" t="s">
        <v>111</v>
      </c>
      <c r="L11" s="19" t="s">
        <v>112</v>
      </c>
      <c r="M11" s="3" t="s">
        <v>107</v>
      </c>
      <c r="N11" s="22" t="s">
        <v>375</v>
      </c>
      <c r="O11" s="73" t="s">
        <v>381</v>
      </c>
      <c r="P11" s="22" t="s">
        <v>385</v>
      </c>
      <c r="Q11" s="22" t="s">
        <v>373</v>
      </c>
      <c r="R11" s="22">
        <v>9</v>
      </c>
      <c r="S11" s="21">
        <v>23</v>
      </c>
      <c r="T11" s="22">
        <v>6</v>
      </c>
      <c r="U11" s="21">
        <v>1200</v>
      </c>
      <c r="V11" s="21">
        <v>1240</v>
      </c>
      <c r="W11" s="21">
        <v>1203</v>
      </c>
      <c r="X11" s="21">
        <v>1216</v>
      </c>
      <c r="Y11" s="94">
        <v>1238</v>
      </c>
      <c r="Z11" s="116">
        <v>0</v>
      </c>
      <c r="AA11" s="87">
        <v>652967632</v>
      </c>
      <c r="AB11" s="29">
        <v>199667940</v>
      </c>
      <c r="AC11" s="29">
        <v>4164298880</v>
      </c>
      <c r="AD11" s="21">
        <v>0</v>
      </c>
      <c r="AE11" s="29">
        <f t="shared" si="0"/>
        <v>5016934452</v>
      </c>
      <c r="AF11" s="68" t="s">
        <v>354</v>
      </c>
      <c r="AG11" s="71"/>
    </row>
    <row r="12" spans="1:33" ht="262.2" x14ac:dyDescent="0.3">
      <c r="A12" s="148"/>
      <c r="B12" s="149">
        <v>0</v>
      </c>
      <c r="C12" s="148"/>
      <c r="D12" s="149">
        <v>0</v>
      </c>
      <c r="E12" s="75">
        <v>0</v>
      </c>
      <c r="F12" s="75">
        <v>1.147</v>
      </c>
      <c r="G12" s="74">
        <v>1.286</v>
      </c>
      <c r="H12" s="75">
        <f>1.348+0.5</f>
        <v>1.8480000000000001</v>
      </c>
      <c r="I12" s="75">
        <v>0.94500000000000006</v>
      </c>
      <c r="J12" s="8">
        <v>51010010005</v>
      </c>
      <c r="K12" s="19" t="s">
        <v>113</v>
      </c>
      <c r="L12" s="19" t="s">
        <v>114</v>
      </c>
      <c r="M12" s="3" t="s">
        <v>107</v>
      </c>
      <c r="N12" s="22" t="s">
        <v>374</v>
      </c>
      <c r="O12" s="73" t="s">
        <v>386</v>
      </c>
      <c r="P12" s="22" t="s">
        <v>1754</v>
      </c>
      <c r="Q12" s="22" t="s">
        <v>373</v>
      </c>
      <c r="R12" s="22">
        <v>9</v>
      </c>
      <c r="S12" s="21">
        <v>45</v>
      </c>
      <c r="T12" s="22">
        <v>17</v>
      </c>
      <c r="U12" s="21">
        <v>0</v>
      </c>
      <c r="V12" s="21">
        <v>100</v>
      </c>
      <c r="W12" s="21">
        <v>0</v>
      </c>
      <c r="X12" s="21">
        <v>20</v>
      </c>
      <c r="Y12" s="94">
        <v>10</v>
      </c>
      <c r="Z12" s="116">
        <v>100</v>
      </c>
      <c r="AA12" s="87">
        <v>0</v>
      </c>
      <c r="AB12" s="29">
        <v>690141119</v>
      </c>
      <c r="AC12" s="29">
        <v>656166000</v>
      </c>
      <c r="AD12" s="21">
        <v>400000000</v>
      </c>
      <c r="AE12" s="29">
        <f t="shared" si="0"/>
        <v>1746307119</v>
      </c>
      <c r="AF12" s="68" t="s">
        <v>356</v>
      </c>
      <c r="AG12" s="71"/>
    </row>
    <row r="13" spans="1:33" ht="82.8" x14ac:dyDescent="0.3">
      <c r="A13" s="148"/>
      <c r="B13" s="149">
        <v>0</v>
      </c>
      <c r="C13" s="148"/>
      <c r="D13" s="149">
        <v>0</v>
      </c>
      <c r="E13" s="75">
        <v>3.1819999999999999</v>
      </c>
      <c r="F13" s="75">
        <v>1.046</v>
      </c>
      <c r="G13" s="74">
        <v>1.0670000000000002</v>
      </c>
      <c r="H13" s="75">
        <f>1.082+0.4+0.12</f>
        <v>1.6020000000000003</v>
      </c>
      <c r="I13" s="75">
        <v>1.5939999999999999</v>
      </c>
      <c r="J13" s="8">
        <v>51010010006</v>
      </c>
      <c r="K13" s="19" t="s">
        <v>115</v>
      </c>
      <c r="L13" s="19" t="s">
        <v>116</v>
      </c>
      <c r="M13" s="3" t="s">
        <v>107</v>
      </c>
      <c r="N13" s="22" t="s">
        <v>373</v>
      </c>
      <c r="O13" s="73" t="s">
        <v>381</v>
      </c>
      <c r="P13" s="22" t="s">
        <v>387</v>
      </c>
      <c r="Q13" s="22" t="s">
        <v>373</v>
      </c>
      <c r="R13" s="22">
        <v>8</v>
      </c>
      <c r="S13" s="21">
        <v>35</v>
      </c>
      <c r="T13" s="22">
        <v>13</v>
      </c>
      <c r="U13" s="21">
        <v>8</v>
      </c>
      <c r="V13" s="21">
        <v>200</v>
      </c>
      <c r="W13" s="21">
        <v>50</v>
      </c>
      <c r="X13" s="21">
        <v>60</v>
      </c>
      <c r="Y13" s="94">
        <v>130</v>
      </c>
      <c r="Z13" s="116">
        <v>200</v>
      </c>
      <c r="AA13" s="87">
        <v>296861176</v>
      </c>
      <c r="AB13" s="29">
        <v>200000000</v>
      </c>
      <c r="AC13" s="29">
        <v>252500000</v>
      </c>
      <c r="AD13" s="21">
        <v>250000000</v>
      </c>
      <c r="AE13" s="29">
        <f t="shared" si="0"/>
        <v>999361176</v>
      </c>
      <c r="AF13" s="68" t="s">
        <v>357</v>
      </c>
      <c r="AG13" s="71"/>
    </row>
    <row r="14" spans="1:33" ht="41.4" x14ac:dyDescent="0.3">
      <c r="A14" s="148"/>
      <c r="B14" s="149">
        <v>0</v>
      </c>
      <c r="C14" s="148"/>
      <c r="D14" s="149">
        <v>0</v>
      </c>
      <c r="E14" s="75">
        <v>3.0430000000000001</v>
      </c>
      <c r="F14" s="75">
        <v>1.0580000000000001</v>
      </c>
      <c r="G14" s="74">
        <v>1.089</v>
      </c>
      <c r="H14" s="75">
        <f>1.109+0.4</f>
        <v>1.5089999999999999</v>
      </c>
      <c r="I14" s="75">
        <v>1.5740000000000001</v>
      </c>
      <c r="J14" s="8">
        <v>51010010007</v>
      </c>
      <c r="K14" s="19" t="s">
        <v>117</v>
      </c>
      <c r="L14" s="19" t="s">
        <v>118</v>
      </c>
      <c r="M14" s="3" t="s">
        <v>107</v>
      </c>
      <c r="N14" s="22" t="s">
        <v>373</v>
      </c>
      <c r="O14" s="73" t="s">
        <v>381</v>
      </c>
      <c r="P14" s="22" t="s">
        <v>1755</v>
      </c>
      <c r="Q14" s="22" t="s">
        <v>373</v>
      </c>
      <c r="R14" s="22">
        <v>8</v>
      </c>
      <c r="S14" s="21">
        <v>35</v>
      </c>
      <c r="T14" s="22">
        <v>13</v>
      </c>
      <c r="U14" s="21">
        <v>4</v>
      </c>
      <c r="V14" s="21">
        <v>6</v>
      </c>
      <c r="W14" s="21">
        <v>4</v>
      </c>
      <c r="X14" s="21">
        <v>5</v>
      </c>
      <c r="Y14" s="94">
        <v>6</v>
      </c>
      <c r="Z14" s="116">
        <v>6</v>
      </c>
      <c r="AA14" s="87">
        <v>70500000</v>
      </c>
      <c r="AB14" s="29">
        <v>245000000</v>
      </c>
      <c r="AC14" s="29">
        <v>392772760</v>
      </c>
      <c r="AD14" s="21">
        <v>206172000</v>
      </c>
      <c r="AE14" s="29">
        <f t="shared" si="0"/>
        <v>914444760</v>
      </c>
      <c r="AF14" s="68" t="s">
        <v>357</v>
      </c>
      <c r="AG14" s="71"/>
    </row>
    <row r="15" spans="1:33" ht="69" x14ac:dyDescent="0.3">
      <c r="A15" s="148"/>
      <c r="B15" s="149">
        <v>0</v>
      </c>
      <c r="C15" s="148"/>
      <c r="D15" s="149">
        <v>0</v>
      </c>
      <c r="E15" s="75">
        <v>0</v>
      </c>
      <c r="F15" s="75">
        <f>1.389-1.389</f>
        <v>0</v>
      </c>
      <c r="G15" s="74">
        <v>1.0680000000000001</v>
      </c>
      <c r="H15" s="75">
        <f>1.185-1.185</f>
        <v>0</v>
      </c>
      <c r="I15" s="75">
        <v>0.91100000000000003</v>
      </c>
      <c r="J15" s="8">
        <v>51010010008</v>
      </c>
      <c r="K15" s="19" t="s">
        <v>119</v>
      </c>
      <c r="L15" s="19" t="s">
        <v>120</v>
      </c>
      <c r="M15" s="3" t="s">
        <v>107</v>
      </c>
      <c r="N15" s="22" t="s">
        <v>373</v>
      </c>
      <c r="O15" s="73" t="s">
        <v>381</v>
      </c>
      <c r="P15" s="22" t="s">
        <v>388</v>
      </c>
      <c r="Q15" s="22" t="s">
        <v>373</v>
      </c>
      <c r="R15" s="22">
        <v>9</v>
      </c>
      <c r="S15" s="21">
        <v>39</v>
      </c>
      <c r="T15" s="22">
        <v>14</v>
      </c>
      <c r="U15" s="21">
        <v>0</v>
      </c>
      <c r="V15" s="21">
        <v>50</v>
      </c>
      <c r="W15" s="21">
        <v>0</v>
      </c>
      <c r="X15" s="22">
        <v>0</v>
      </c>
      <c r="Y15" s="101">
        <v>32</v>
      </c>
      <c r="Z15" s="117">
        <v>0</v>
      </c>
      <c r="AA15" s="87">
        <v>0</v>
      </c>
      <c r="AB15" s="29">
        <v>0</v>
      </c>
      <c r="AC15" s="29">
        <v>200000000</v>
      </c>
      <c r="AD15" s="21">
        <v>0</v>
      </c>
      <c r="AE15" s="29">
        <f t="shared" si="0"/>
        <v>200000000</v>
      </c>
      <c r="AF15" s="68" t="s">
        <v>354</v>
      </c>
      <c r="AG15" s="71"/>
    </row>
    <row r="16" spans="1:33" ht="55.2" x14ac:dyDescent="0.3">
      <c r="A16" s="148"/>
      <c r="B16" s="149">
        <v>0</v>
      </c>
      <c r="C16" s="148"/>
      <c r="D16" s="149">
        <v>0</v>
      </c>
      <c r="E16" s="75">
        <v>3.0369999999999999</v>
      </c>
      <c r="F16" s="75">
        <v>1.7930000000000001</v>
      </c>
      <c r="G16" s="74">
        <v>1.117</v>
      </c>
      <c r="H16" s="75">
        <f>1.323+0.3</f>
        <v>1.623</v>
      </c>
      <c r="I16" s="75">
        <v>1.921</v>
      </c>
      <c r="J16" s="8">
        <v>51010010009</v>
      </c>
      <c r="K16" s="19" t="s">
        <v>121</v>
      </c>
      <c r="L16" s="19" t="s">
        <v>122</v>
      </c>
      <c r="M16" s="3" t="s">
        <v>107</v>
      </c>
      <c r="N16" s="22" t="s">
        <v>373</v>
      </c>
      <c r="O16" s="73" t="s">
        <v>381</v>
      </c>
      <c r="P16" s="22" t="s">
        <v>389</v>
      </c>
      <c r="Q16" s="22" t="s">
        <v>373</v>
      </c>
      <c r="R16" s="22">
        <v>9</v>
      </c>
      <c r="S16" s="21">
        <v>23</v>
      </c>
      <c r="T16" s="22">
        <v>6</v>
      </c>
      <c r="U16" s="21">
        <v>54</v>
      </c>
      <c r="V16" s="21">
        <v>75</v>
      </c>
      <c r="W16" s="21">
        <v>54</v>
      </c>
      <c r="X16" s="22">
        <v>60</v>
      </c>
      <c r="Y16" s="101">
        <v>70</v>
      </c>
      <c r="Z16" s="117">
        <v>75</v>
      </c>
      <c r="AA16" s="87">
        <v>742120649</v>
      </c>
      <c r="AB16" s="29">
        <v>101279280</v>
      </c>
      <c r="AC16" s="29">
        <v>3157736320</v>
      </c>
      <c r="AD16" s="21">
        <v>198939208</v>
      </c>
      <c r="AE16" s="29">
        <f t="shared" si="0"/>
        <v>4200075457</v>
      </c>
      <c r="AF16" s="68" t="s">
        <v>354</v>
      </c>
      <c r="AG16" s="71"/>
    </row>
    <row r="17" spans="1:33" ht="82.8" x14ac:dyDescent="0.3">
      <c r="A17" s="148"/>
      <c r="B17" s="149">
        <v>0</v>
      </c>
      <c r="C17" s="148"/>
      <c r="D17" s="149">
        <v>0</v>
      </c>
      <c r="E17" s="75">
        <v>4.95</v>
      </c>
      <c r="F17" s="75">
        <v>1.391</v>
      </c>
      <c r="G17" s="74">
        <v>1.5630000000000002</v>
      </c>
      <c r="H17" s="75">
        <f>1.679-1.679</f>
        <v>0</v>
      </c>
      <c r="I17" s="75">
        <v>2.1440000000000001</v>
      </c>
      <c r="J17" s="8">
        <v>51010010010</v>
      </c>
      <c r="K17" s="19" t="s">
        <v>123</v>
      </c>
      <c r="L17" s="19" t="s">
        <v>124</v>
      </c>
      <c r="M17" s="3" t="s">
        <v>107</v>
      </c>
      <c r="N17" s="22" t="s">
        <v>373</v>
      </c>
      <c r="O17" s="73" t="s">
        <v>381</v>
      </c>
      <c r="P17" s="22" t="s">
        <v>390</v>
      </c>
      <c r="Q17" s="22" t="s">
        <v>373</v>
      </c>
      <c r="R17" s="22">
        <v>9</v>
      </c>
      <c r="S17" s="21">
        <v>23</v>
      </c>
      <c r="T17" s="22">
        <v>1</v>
      </c>
      <c r="U17" s="21">
        <v>1827</v>
      </c>
      <c r="V17" s="21">
        <v>2700</v>
      </c>
      <c r="W17" s="21">
        <v>1927</v>
      </c>
      <c r="X17" s="21">
        <v>2103</v>
      </c>
      <c r="Y17" s="94">
        <v>2124</v>
      </c>
      <c r="Z17" s="116">
        <v>0</v>
      </c>
      <c r="AA17" s="87">
        <v>1549119600</v>
      </c>
      <c r="AB17" s="29">
        <v>1982578159</v>
      </c>
      <c r="AC17" s="29">
        <v>1998182370</v>
      </c>
      <c r="AD17" s="22">
        <v>0</v>
      </c>
      <c r="AE17" s="29">
        <f t="shared" si="0"/>
        <v>5529880129</v>
      </c>
      <c r="AF17" s="68" t="s">
        <v>358</v>
      </c>
      <c r="AG17" s="71"/>
    </row>
    <row r="18" spans="1:33" ht="55.2" x14ac:dyDescent="0.3">
      <c r="A18" s="148"/>
      <c r="B18" s="149">
        <v>0</v>
      </c>
      <c r="C18" s="148"/>
      <c r="D18" s="149">
        <v>0</v>
      </c>
      <c r="E18" s="75">
        <v>16.768000000000001</v>
      </c>
      <c r="F18" s="75">
        <f>4.18+1.45</f>
        <v>5.63</v>
      </c>
      <c r="G18" s="74">
        <f>3.644+1.282+2</f>
        <v>6.9260000000000002</v>
      </c>
      <c r="H18" s="75">
        <v>5.4</v>
      </c>
      <c r="I18" s="75">
        <v>7.3679999999999994</v>
      </c>
      <c r="J18" s="8">
        <v>51010010011</v>
      </c>
      <c r="K18" s="19" t="s">
        <v>125</v>
      </c>
      <c r="L18" s="19" t="s">
        <v>126</v>
      </c>
      <c r="M18" s="3" t="s">
        <v>107</v>
      </c>
      <c r="N18" s="22" t="s">
        <v>373</v>
      </c>
      <c r="O18" s="73" t="s">
        <v>381</v>
      </c>
      <c r="P18" s="22" t="s">
        <v>391</v>
      </c>
      <c r="Q18" s="22" t="s">
        <v>373</v>
      </c>
      <c r="R18" s="22">
        <v>7</v>
      </c>
      <c r="S18" s="21">
        <v>21</v>
      </c>
      <c r="T18" s="22">
        <v>6</v>
      </c>
      <c r="U18" s="21">
        <v>31292</v>
      </c>
      <c r="V18" s="21">
        <v>92602</v>
      </c>
      <c r="W18" s="21">
        <f>12000+U18</f>
        <v>43292</v>
      </c>
      <c r="X18" s="21">
        <v>55292</v>
      </c>
      <c r="Y18" s="94">
        <v>73947</v>
      </c>
      <c r="Z18" s="116">
        <v>92602</v>
      </c>
      <c r="AA18" s="87">
        <v>125183477000</v>
      </c>
      <c r="AB18" s="29">
        <v>17064996567</v>
      </c>
      <c r="AC18" s="29">
        <v>38990929110</v>
      </c>
      <c r="AD18" s="21">
        <v>37410563837</v>
      </c>
      <c r="AE18" s="29">
        <f t="shared" si="0"/>
        <v>218649966514</v>
      </c>
      <c r="AF18" s="68" t="s">
        <v>359</v>
      </c>
      <c r="AG18" s="71"/>
    </row>
    <row r="19" spans="1:33" ht="151.80000000000001" x14ac:dyDescent="0.3">
      <c r="A19" s="148"/>
      <c r="B19" s="149">
        <v>0</v>
      </c>
      <c r="C19" s="148"/>
      <c r="D19" s="149">
        <v>0</v>
      </c>
      <c r="E19" s="75">
        <v>0</v>
      </c>
      <c r="F19" s="75">
        <v>1.044</v>
      </c>
      <c r="G19" s="74">
        <v>1.024</v>
      </c>
      <c r="H19" s="75">
        <v>1.034</v>
      </c>
      <c r="I19" s="75">
        <v>0.77700000000000002</v>
      </c>
      <c r="J19" s="8">
        <v>51010010012</v>
      </c>
      <c r="K19" s="19" t="s">
        <v>127</v>
      </c>
      <c r="L19" s="19" t="s">
        <v>128</v>
      </c>
      <c r="M19" s="3" t="s">
        <v>107</v>
      </c>
      <c r="N19" s="22" t="s">
        <v>373</v>
      </c>
      <c r="O19" s="73" t="s">
        <v>392</v>
      </c>
      <c r="P19" s="22" t="s">
        <v>393</v>
      </c>
      <c r="Q19" s="22" t="s">
        <v>373</v>
      </c>
      <c r="R19" s="22">
        <v>12</v>
      </c>
      <c r="S19" s="21">
        <v>45</v>
      </c>
      <c r="T19" s="22">
        <v>17</v>
      </c>
      <c r="U19" s="21">
        <v>0</v>
      </c>
      <c r="V19" s="21">
        <v>3</v>
      </c>
      <c r="W19" s="21">
        <v>0</v>
      </c>
      <c r="X19" s="21">
        <v>1</v>
      </c>
      <c r="Y19" s="94">
        <v>2</v>
      </c>
      <c r="Z19" s="116">
        <v>3</v>
      </c>
      <c r="AA19" s="87">
        <v>0</v>
      </c>
      <c r="AB19" s="29">
        <v>189305000</v>
      </c>
      <c r="AC19" s="29">
        <v>76708504</v>
      </c>
      <c r="AD19" s="21">
        <v>69000000</v>
      </c>
      <c r="AE19" s="29">
        <f t="shared" si="0"/>
        <v>335013504</v>
      </c>
      <c r="AF19" s="68" t="s">
        <v>360</v>
      </c>
      <c r="AG19" s="71"/>
    </row>
    <row r="20" spans="1:33" ht="55.2" x14ac:dyDescent="0.3">
      <c r="A20" s="148"/>
      <c r="B20" s="149">
        <v>0</v>
      </c>
      <c r="C20" s="148"/>
      <c r="D20" s="149">
        <v>0</v>
      </c>
      <c r="E20" s="75">
        <v>3.0310000000000001</v>
      </c>
      <c r="F20" s="75">
        <v>1.042</v>
      </c>
      <c r="G20" s="74">
        <f>0+1.1</f>
        <v>1.1000000000000001</v>
      </c>
      <c r="H20" s="75">
        <v>0</v>
      </c>
      <c r="I20" s="75">
        <v>1.018</v>
      </c>
      <c r="J20" s="8">
        <v>51010010013</v>
      </c>
      <c r="K20" s="19" t="s">
        <v>129</v>
      </c>
      <c r="L20" s="19" t="s">
        <v>130</v>
      </c>
      <c r="M20" s="3" t="s">
        <v>107</v>
      </c>
      <c r="N20" s="22" t="s">
        <v>373</v>
      </c>
      <c r="O20" s="73" t="s">
        <v>381</v>
      </c>
      <c r="P20" s="22" t="s">
        <v>394</v>
      </c>
      <c r="Q20" s="22" t="s">
        <v>373</v>
      </c>
      <c r="R20" s="22">
        <v>9</v>
      </c>
      <c r="S20" s="21">
        <v>45</v>
      </c>
      <c r="T20" s="22">
        <v>17</v>
      </c>
      <c r="U20" s="21">
        <v>0</v>
      </c>
      <c r="V20" s="21">
        <v>1</v>
      </c>
      <c r="W20" s="21">
        <v>1</v>
      </c>
      <c r="X20" s="48">
        <v>0.3</v>
      </c>
      <c r="Y20" s="102">
        <v>1</v>
      </c>
      <c r="Z20" s="116">
        <v>0</v>
      </c>
      <c r="AA20" s="87">
        <v>50000000</v>
      </c>
      <c r="AB20" s="29">
        <v>200000000</v>
      </c>
      <c r="AC20" s="29">
        <v>220536000</v>
      </c>
      <c r="AD20" s="21">
        <v>0</v>
      </c>
      <c r="AE20" s="29">
        <f t="shared" si="0"/>
        <v>470536000</v>
      </c>
      <c r="AF20" s="68" t="s">
        <v>361</v>
      </c>
      <c r="AG20" s="71"/>
    </row>
    <row r="21" spans="1:33" ht="41.4" x14ac:dyDescent="0.3">
      <c r="A21" s="148"/>
      <c r="B21" s="149">
        <v>0</v>
      </c>
      <c r="C21" s="148"/>
      <c r="D21" s="149">
        <v>0</v>
      </c>
      <c r="E21" s="75">
        <v>0</v>
      </c>
      <c r="F21" s="75">
        <v>1.464</v>
      </c>
      <c r="G21" s="74">
        <f>0+1.5</f>
        <v>1.5</v>
      </c>
      <c r="H21" s="75">
        <v>0</v>
      </c>
      <c r="I21" s="75">
        <v>0.36599999999999999</v>
      </c>
      <c r="J21" s="8">
        <v>51010010014</v>
      </c>
      <c r="K21" s="19" t="s">
        <v>131</v>
      </c>
      <c r="L21" s="19" t="s">
        <v>132</v>
      </c>
      <c r="M21" s="3" t="s">
        <v>107</v>
      </c>
      <c r="N21" s="22" t="s">
        <v>373</v>
      </c>
      <c r="O21" s="73" t="s">
        <v>381</v>
      </c>
      <c r="P21" s="22" t="s">
        <v>395</v>
      </c>
      <c r="Q21" s="22" t="s">
        <v>373</v>
      </c>
      <c r="R21" s="22">
        <v>9</v>
      </c>
      <c r="S21" s="21">
        <v>21</v>
      </c>
      <c r="T21" s="22">
        <v>6</v>
      </c>
      <c r="U21" s="21">
        <v>0</v>
      </c>
      <c r="V21" s="21">
        <v>1</v>
      </c>
      <c r="W21" s="21">
        <v>0</v>
      </c>
      <c r="X21" s="21">
        <v>1</v>
      </c>
      <c r="Y21" s="94">
        <v>1</v>
      </c>
      <c r="Z21" s="116">
        <v>0</v>
      </c>
      <c r="AA21" s="87">
        <v>0</v>
      </c>
      <c r="AB21" s="29">
        <v>1988000000</v>
      </c>
      <c r="AC21" s="29">
        <v>559300000</v>
      </c>
      <c r="AD21" s="21">
        <v>0</v>
      </c>
      <c r="AE21" s="29">
        <f t="shared" si="0"/>
        <v>2547300000</v>
      </c>
      <c r="AF21" s="68" t="s">
        <v>359</v>
      </c>
      <c r="AG21" s="71"/>
    </row>
    <row r="22" spans="1:33" ht="41.4" x14ac:dyDescent="0.3">
      <c r="A22" s="148"/>
      <c r="B22" s="149">
        <v>0</v>
      </c>
      <c r="C22" s="148"/>
      <c r="D22" s="149">
        <v>0</v>
      </c>
      <c r="E22" s="75">
        <v>0</v>
      </c>
      <c r="F22" s="75">
        <f>14.463+1.389</f>
        <v>15.851999999999999</v>
      </c>
      <c r="G22" s="74">
        <f>19.368-1.1-1.5</f>
        <v>16.767999999999997</v>
      </c>
      <c r="H22" s="75">
        <f>23.516-1.3-5</f>
        <v>17.215999999999998</v>
      </c>
      <c r="I22" s="75">
        <v>13.261999999999999</v>
      </c>
      <c r="J22" s="8">
        <v>51010010015</v>
      </c>
      <c r="K22" s="19" t="s">
        <v>133</v>
      </c>
      <c r="L22" s="19" t="s">
        <v>134</v>
      </c>
      <c r="M22" s="3" t="s">
        <v>107</v>
      </c>
      <c r="N22" s="22" t="s">
        <v>373</v>
      </c>
      <c r="O22" s="73" t="s">
        <v>381</v>
      </c>
      <c r="P22" s="22" t="s">
        <v>396</v>
      </c>
      <c r="Q22" s="22" t="s">
        <v>373</v>
      </c>
      <c r="R22" s="22">
        <v>9</v>
      </c>
      <c r="S22" s="21">
        <v>21</v>
      </c>
      <c r="T22" s="22">
        <v>6</v>
      </c>
      <c r="U22" s="21">
        <v>0</v>
      </c>
      <c r="V22" s="21">
        <v>1</v>
      </c>
      <c r="W22" s="21">
        <v>0</v>
      </c>
      <c r="X22" s="21">
        <v>1</v>
      </c>
      <c r="Y22" s="94">
        <v>1</v>
      </c>
      <c r="Z22" s="116">
        <v>1</v>
      </c>
      <c r="AA22" s="87">
        <v>0</v>
      </c>
      <c r="AB22" s="29">
        <v>112809719433</v>
      </c>
      <c r="AC22" s="29">
        <v>115797865980</v>
      </c>
      <c r="AD22" s="21">
        <v>120634512574</v>
      </c>
      <c r="AE22" s="29">
        <f t="shared" si="0"/>
        <v>349242097987</v>
      </c>
      <c r="AF22" s="68" t="s">
        <v>359</v>
      </c>
      <c r="AG22" s="71"/>
    </row>
    <row r="23" spans="1:33" ht="55.2" x14ac:dyDescent="0.3">
      <c r="A23" s="148"/>
      <c r="B23" s="149">
        <v>0</v>
      </c>
      <c r="C23" s="148"/>
      <c r="D23" s="149">
        <v>0</v>
      </c>
      <c r="E23" s="75">
        <v>0</v>
      </c>
      <c r="F23" s="75">
        <f>1.161-1.161</f>
        <v>0</v>
      </c>
      <c r="G23" s="74">
        <f>1.568+1</f>
        <v>2.5680000000000001</v>
      </c>
      <c r="H23" s="75">
        <f>0+5</f>
        <v>5</v>
      </c>
      <c r="I23" s="75">
        <v>0.68199999999999994</v>
      </c>
      <c r="J23" s="8">
        <v>51010010016</v>
      </c>
      <c r="K23" s="19" t="s">
        <v>135</v>
      </c>
      <c r="L23" s="19" t="s">
        <v>136</v>
      </c>
      <c r="M23" s="3" t="s">
        <v>107</v>
      </c>
      <c r="N23" s="22" t="s">
        <v>373</v>
      </c>
      <c r="O23" s="73" t="s">
        <v>381</v>
      </c>
      <c r="P23" s="22" t="s">
        <v>397</v>
      </c>
      <c r="Q23" s="22" t="s">
        <v>373</v>
      </c>
      <c r="R23" s="22">
        <v>9</v>
      </c>
      <c r="S23" s="21">
        <v>24</v>
      </c>
      <c r="T23" s="22">
        <v>15</v>
      </c>
      <c r="U23" s="21">
        <v>0</v>
      </c>
      <c r="V23" s="21">
        <v>1</v>
      </c>
      <c r="W23" s="21">
        <v>0</v>
      </c>
      <c r="X23" s="21">
        <v>0</v>
      </c>
      <c r="Y23" s="94">
        <v>1</v>
      </c>
      <c r="Z23" s="116">
        <v>1</v>
      </c>
      <c r="AA23" s="87">
        <v>0</v>
      </c>
      <c r="AB23" s="29">
        <v>0</v>
      </c>
      <c r="AC23" s="29">
        <v>8900000000</v>
      </c>
      <c r="AD23" s="21">
        <v>8000000000</v>
      </c>
      <c r="AE23" s="29">
        <f t="shared" si="0"/>
        <v>16900000000</v>
      </c>
      <c r="AF23" s="68" t="s">
        <v>362</v>
      </c>
      <c r="AG23" s="71"/>
    </row>
    <row r="24" spans="1:33" ht="55.2" x14ac:dyDescent="0.3">
      <c r="A24" s="148"/>
      <c r="B24" s="149">
        <v>0</v>
      </c>
      <c r="C24" s="148"/>
      <c r="D24" s="149">
        <v>0</v>
      </c>
      <c r="E24" s="75">
        <v>0</v>
      </c>
      <c r="F24" s="75">
        <f>1.069-1.069</f>
        <v>0</v>
      </c>
      <c r="G24" s="74">
        <f>1.097-1.097</f>
        <v>0</v>
      </c>
      <c r="H24" s="75">
        <f>1.113+0.6</f>
        <v>1.7130000000000001</v>
      </c>
      <c r="I24" s="75">
        <v>0.82000000000000006</v>
      </c>
      <c r="J24" s="8">
        <v>51010010017</v>
      </c>
      <c r="K24" s="19" t="s">
        <v>1756</v>
      </c>
      <c r="L24" s="19" t="s">
        <v>137</v>
      </c>
      <c r="M24" s="3" t="s">
        <v>107</v>
      </c>
      <c r="N24" s="22" t="s">
        <v>373</v>
      </c>
      <c r="O24" s="73" t="s">
        <v>381</v>
      </c>
      <c r="P24" s="22" t="s">
        <v>398</v>
      </c>
      <c r="Q24" s="22" t="s">
        <v>373</v>
      </c>
      <c r="R24" s="22">
        <v>9</v>
      </c>
      <c r="S24" s="21">
        <v>4</v>
      </c>
      <c r="T24" s="22">
        <v>17</v>
      </c>
      <c r="U24" s="21">
        <v>0</v>
      </c>
      <c r="V24" s="21">
        <v>1</v>
      </c>
      <c r="W24" s="21">
        <v>0</v>
      </c>
      <c r="X24" s="21">
        <v>0</v>
      </c>
      <c r="Y24" s="94">
        <v>0</v>
      </c>
      <c r="Z24" s="116">
        <v>1</v>
      </c>
      <c r="AA24" s="87">
        <v>0</v>
      </c>
      <c r="AB24" s="29">
        <v>0</v>
      </c>
      <c r="AC24" s="29">
        <v>0</v>
      </c>
      <c r="AD24" s="21">
        <v>103539000</v>
      </c>
      <c r="AE24" s="29">
        <f t="shared" si="0"/>
        <v>103539000</v>
      </c>
      <c r="AF24" s="68" t="s">
        <v>363</v>
      </c>
      <c r="AG24" s="71"/>
    </row>
    <row r="25" spans="1:33" ht="69" x14ac:dyDescent="0.3">
      <c r="A25" s="148"/>
      <c r="B25" s="149">
        <v>0</v>
      </c>
      <c r="C25" s="148"/>
      <c r="D25" s="149">
        <v>0</v>
      </c>
      <c r="E25" s="75">
        <v>0</v>
      </c>
      <c r="F25" s="75">
        <v>0</v>
      </c>
      <c r="G25" s="74">
        <f>1.1</f>
        <v>1.1000000000000001</v>
      </c>
      <c r="H25" s="75">
        <f>0</f>
        <v>0</v>
      </c>
      <c r="I25" s="75">
        <v>0.8</v>
      </c>
      <c r="J25" s="8">
        <v>51010010018</v>
      </c>
      <c r="K25" s="19" t="s">
        <v>138</v>
      </c>
      <c r="L25" s="19" t="s">
        <v>139</v>
      </c>
      <c r="M25" s="3" t="s">
        <v>107</v>
      </c>
      <c r="N25" s="22" t="s">
        <v>374</v>
      </c>
      <c r="O25" s="73" t="s">
        <v>381</v>
      </c>
      <c r="P25" s="22" t="s">
        <v>399</v>
      </c>
      <c r="Q25" s="22" t="s">
        <v>374</v>
      </c>
      <c r="R25" s="22">
        <v>9</v>
      </c>
      <c r="S25" s="21">
        <v>23</v>
      </c>
      <c r="T25" s="22">
        <v>13</v>
      </c>
      <c r="U25" s="21">
        <v>0</v>
      </c>
      <c r="V25" s="21">
        <v>100</v>
      </c>
      <c r="W25" s="21">
        <v>0</v>
      </c>
      <c r="X25" s="21">
        <v>0</v>
      </c>
      <c r="Y25" s="94">
        <v>100</v>
      </c>
      <c r="Z25" s="116">
        <v>0</v>
      </c>
      <c r="AA25" s="87">
        <v>0</v>
      </c>
      <c r="AB25" s="29">
        <v>0</v>
      </c>
      <c r="AC25" s="29">
        <v>79392000</v>
      </c>
      <c r="AD25" s="21">
        <v>0</v>
      </c>
      <c r="AE25" s="29">
        <f t="shared" si="0"/>
        <v>79392000</v>
      </c>
      <c r="AF25" s="68" t="s">
        <v>364</v>
      </c>
      <c r="AG25" s="71"/>
    </row>
    <row r="26" spans="1:33" ht="193.2" x14ac:dyDescent="0.3">
      <c r="A26" s="148"/>
      <c r="B26" s="149">
        <v>0</v>
      </c>
      <c r="C26" s="148"/>
      <c r="D26" s="149">
        <v>0</v>
      </c>
      <c r="E26" s="75">
        <v>6.0839999999999996</v>
      </c>
      <c r="F26" s="75">
        <f>0.555+1.185</f>
        <v>1.7400000000000002</v>
      </c>
      <c r="G26" s="74">
        <v>1.9319999999999999</v>
      </c>
      <c r="H26" s="75">
        <f>1.175+1.185</f>
        <v>2.3600000000000003</v>
      </c>
      <c r="I26" s="75">
        <v>2.3560000000000003</v>
      </c>
      <c r="J26" s="8">
        <v>51010010019</v>
      </c>
      <c r="K26" s="19" t="s">
        <v>140</v>
      </c>
      <c r="L26" s="19" t="s">
        <v>141</v>
      </c>
      <c r="M26" s="3" t="s">
        <v>107</v>
      </c>
      <c r="N26" s="22" t="s">
        <v>373</v>
      </c>
      <c r="O26" s="73" t="s">
        <v>400</v>
      </c>
      <c r="P26" s="22" t="s">
        <v>401</v>
      </c>
      <c r="Q26" s="22" t="s">
        <v>373</v>
      </c>
      <c r="R26" s="22">
        <v>9</v>
      </c>
      <c r="S26" s="21">
        <v>23</v>
      </c>
      <c r="T26" s="22">
        <v>1</v>
      </c>
      <c r="U26" s="21">
        <v>0</v>
      </c>
      <c r="V26" s="21">
        <v>26000</v>
      </c>
      <c r="W26" s="21">
        <v>3000</v>
      </c>
      <c r="X26" s="21">
        <v>8830</v>
      </c>
      <c r="Y26" s="94">
        <v>18773</v>
      </c>
      <c r="Z26" s="116">
        <v>26000</v>
      </c>
      <c r="AA26" s="87">
        <v>2890949918</v>
      </c>
      <c r="AB26" s="29">
        <v>580504224</v>
      </c>
      <c r="AC26" s="29">
        <v>592628640</v>
      </c>
      <c r="AD26" s="21">
        <v>604367520</v>
      </c>
      <c r="AE26" s="29">
        <f t="shared" si="0"/>
        <v>4668450302</v>
      </c>
      <c r="AF26" s="68" t="s">
        <v>354</v>
      </c>
      <c r="AG26" s="71"/>
    </row>
    <row r="27" spans="1:33" ht="55.2" x14ac:dyDescent="0.3">
      <c r="A27" s="148"/>
      <c r="B27" s="149">
        <v>0</v>
      </c>
      <c r="C27" s="148"/>
      <c r="D27" s="149">
        <v>0</v>
      </c>
      <c r="E27" s="75">
        <v>0</v>
      </c>
      <c r="F27" s="75">
        <v>1.718</v>
      </c>
      <c r="G27" s="74">
        <f>1.668+0.8</f>
        <v>2.468</v>
      </c>
      <c r="H27" s="75">
        <f>1.763+1.853</f>
        <v>3.6159999999999997</v>
      </c>
      <c r="I27" s="75">
        <v>1.2869999999999999</v>
      </c>
      <c r="J27" s="8">
        <v>51010010020</v>
      </c>
      <c r="K27" s="19" t="s">
        <v>142</v>
      </c>
      <c r="L27" s="19" t="s">
        <v>143</v>
      </c>
      <c r="M27" s="3" t="s">
        <v>144</v>
      </c>
      <c r="N27" s="22" t="s">
        <v>373</v>
      </c>
      <c r="O27" s="73" t="s">
        <v>381</v>
      </c>
      <c r="P27" s="22" t="s">
        <v>402</v>
      </c>
      <c r="Q27" s="22" t="s">
        <v>373</v>
      </c>
      <c r="R27" s="22">
        <v>9</v>
      </c>
      <c r="S27" s="21">
        <v>39</v>
      </c>
      <c r="T27" s="22">
        <v>15</v>
      </c>
      <c r="U27" s="21">
        <v>32</v>
      </c>
      <c r="V27" s="21">
        <v>32</v>
      </c>
      <c r="W27" s="21">
        <v>0</v>
      </c>
      <c r="X27" s="22">
        <v>32</v>
      </c>
      <c r="Y27" s="101">
        <v>32</v>
      </c>
      <c r="Z27" s="117">
        <v>32</v>
      </c>
      <c r="AA27" s="87">
        <v>0</v>
      </c>
      <c r="AB27" s="29">
        <v>506624080</v>
      </c>
      <c r="AC27" s="29">
        <v>5091866215</v>
      </c>
      <c r="AD27" s="21">
        <v>828762060</v>
      </c>
      <c r="AE27" s="29">
        <f t="shared" si="0"/>
        <v>6427252355</v>
      </c>
      <c r="AF27" s="68" t="s">
        <v>354</v>
      </c>
      <c r="AG27" s="71"/>
    </row>
    <row r="28" spans="1:33" ht="82.8" x14ac:dyDescent="0.3">
      <c r="A28" s="148"/>
      <c r="B28" s="149">
        <v>0</v>
      </c>
      <c r="C28" s="148"/>
      <c r="D28" s="149">
        <v>0</v>
      </c>
      <c r="E28" s="75">
        <v>0</v>
      </c>
      <c r="F28" s="75">
        <v>1.0580000000000001</v>
      </c>
      <c r="G28" s="74">
        <v>1.0780000000000001</v>
      </c>
      <c r="H28" s="75">
        <f>1.089-0.3-0.3-0.489</f>
        <v>0</v>
      </c>
      <c r="I28" s="75">
        <v>0.80599999999999994</v>
      </c>
      <c r="J28" s="8">
        <v>51010010021</v>
      </c>
      <c r="K28" s="19" t="s">
        <v>145</v>
      </c>
      <c r="L28" s="19" t="s">
        <v>146</v>
      </c>
      <c r="M28" s="3" t="s">
        <v>107</v>
      </c>
      <c r="N28" s="22" t="s">
        <v>373</v>
      </c>
      <c r="O28" s="73" t="s">
        <v>381</v>
      </c>
      <c r="P28" s="22" t="s">
        <v>403</v>
      </c>
      <c r="Q28" s="22" t="s">
        <v>373</v>
      </c>
      <c r="R28" s="22">
        <v>9</v>
      </c>
      <c r="S28" s="21">
        <v>39</v>
      </c>
      <c r="T28" s="22">
        <v>16</v>
      </c>
      <c r="U28" s="21">
        <v>0</v>
      </c>
      <c r="V28" s="21">
        <v>3</v>
      </c>
      <c r="W28" s="21">
        <v>0</v>
      </c>
      <c r="X28" s="21">
        <v>1</v>
      </c>
      <c r="Y28" s="94">
        <v>2</v>
      </c>
      <c r="Z28" s="116">
        <v>0</v>
      </c>
      <c r="AA28" s="87">
        <v>0</v>
      </c>
      <c r="AB28" s="29">
        <v>100000000</v>
      </c>
      <c r="AC28" s="29">
        <v>300000000</v>
      </c>
      <c r="AD28" s="21">
        <v>0</v>
      </c>
      <c r="AE28" s="29">
        <f t="shared" si="0"/>
        <v>400000000</v>
      </c>
      <c r="AF28" s="68" t="s">
        <v>364</v>
      </c>
      <c r="AG28" s="71"/>
    </row>
    <row r="29" spans="1:33" ht="55.2" x14ac:dyDescent="0.3">
      <c r="A29" s="148"/>
      <c r="B29" s="149">
        <v>0</v>
      </c>
      <c r="C29" s="148"/>
      <c r="D29" s="149">
        <v>0</v>
      </c>
      <c r="E29" s="75">
        <v>0</v>
      </c>
      <c r="F29" s="75">
        <v>1.2689999999999999</v>
      </c>
      <c r="G29" s="74">
        <v>1.3780000000000001</v>
      </c>
      <c r="H29" s="75">
        <v>1.4470000000000001</v>
      </c>
      <c r="I29" s="75">
        <v>1.0229999999999999</v>
      </c>
      <c r="J29" s="8">
        <v>51010010022</v>
      </c>
      <c r="K29" s="19" t="s">
        <v>147</v>
      </c>
      <c r="L29" s="19" t="s">
        <v>148</v>
      </c>
      <c r="M29" s="3" t="s">
        <v>107</v>
      </c>
      <c r="N29" s="22" t="s">
        <v>373</v>
      </c>
      <c r="O29" s="73" t="s">
        <v>381</v>
      </c>
      <c r="P29" s="22" t="s">
        <v>404</v>
      </c>
      <c r="Q29" s="22" t="s">
        <v>373</v>
      </c>
      <c r="R29" s="22">
        <v>9</v>
      </c>
      <c r="S29" s="21">
        <v>39</v>
      </c>
      <c r="T29" s="22">
        <v>17</v>
      </c>
      <c r="U29" s="21">
        <v>3</v>
      </c>
      <c r="V29" s="21">
        <v>15</v>
      </c>
      <c r="W29" s="21">
        <v>0</v>
      </c>
      <c r="X29" s="22">
        <v>6</v>
      </c>
      <c r="Y29" s="101">
        <v>10</v>
      </c>
      <c r="Z29" s="117">
        <v>15</v>
      </c>
      <c r="AA29" s="87">
        <v>0</v>
      </c>
      <c r="AB29" s="29">
        <v>211596228</v>
      </c>
      <c r="AC29" s="29">
        <v>220430080</v>
      </c>
      <c r="AD29" s="21">
        <v>164768520</v>
      </c>
      <c r="AE29" s="29">
        <f t="shared" si="0"/>
        <v>596794828</v>
      </c>
      <c r="AF29" s="68" t="s">
        <v>354</v>
      </c>
      <c r="AG29" s="71"/>
    </row>
    <row r="30" spans="1:33" ht="110.4" x14ac:dyDescent="0.3">
      <c r="A30" s="148"/>
      <c r="B30" s="149">
        <v>0</v>
      </c>
      <c r="C30" s="148"/>
      <c r="D30" s="149">
        <v>0</v>
      </c>
      <c r="E30" s="75">
        <v>0</v>
      </c>
      <c r="F30" s="75">
        <f>1.481-1.481</f>
        <v>0</v>
      </c>
      <c r="G30" s="74">
        <v>1.6809999999999998</v>
      </c>
      <c r="H30" s="75">
        <v>1.8089999999999999</v>
      </c>
      <c r="I30" s="75">
        <v>1.2430000000000001</v>
      </c>
      <c r="J30" s="8">
        <v>51010010023</v>
      </c>
      <c r="K30" s="19" t="s">
        <v>149</v>
      </c>
      <c r="L30" s="19" t="s">
        <v>150</v>
      </c>
      <c r="M30" s="3" t="s">
        <v>144</v>
      </c>
      <c r="N30" s="22" t="s">
        <v>374</v>
      </c>
      <c r="O30" s="73" t="s">
        <v>405</v>
      </c>
      <c r="P30" s="22" t="s">
        <v>406</v>
      </c>
      <c r="Q30" s="22" t="s">
        <v>373</v>
      </c>
      <c r="R30" s="22">
        <v>9</v>
      </c>
      <c r="S30" s="21">
        <v>23</v>
      </c>
      <c r="T30" s="22">
        <v>6</v>
      </c>
      <c r="U30" s="21">
        <v>100</v>
      </c>
      <c r="V30" s="21">
        <v>100</v>
      </c>
      <c r="W30" s="21">
        <v>0</v>
      </c>
      <c r="X30" s="22">
        <v>0</v>
      </c>
      <c r="Y30" s="101">
        <v>100</v>
      </c>
      <c r="Z30" s="117">
        <v>100</v>
      </c>
      <c r="AA30" s="87">
        <v>0</v>
      </c>
      <c r="AB30" s="29">
        <v>0</v>
      </c>
      <c r="AC30" s="29">
        <v>1908267664</v>
      </c>
      <c r="AD30" s="21">
        <v>84098280</v>
      </c>
      <c r="AE30" s="29">
        <f t="shared" si="0"/>
        <v>1992365944</v>
      </c>
      <c r="AF30" s="68" t="s">
        <v>354</v>
      </c>
      <c r="AG30" s="71"/>
    </row>
    <row r="31" spans="1:33" ht="96.6" x14ac:dyDescent="0.3">
      <c r="A31" s="148"/>
      <c r="B31" s="149">
        <v>0</v>
      </c>
      <c r="C31" s="148"/>
      <c r="D31" s="149">
        <v>0</v>
      </c>
      <c r="E31" s="75">
        <v>0</v>
      </c>
      <c r="F31" s="75">
        <f>1.185-1.185</f>
        <v>0</v>
      </c>
      <c r="G31" s="74">
        <f>1.097+1.5+1.4</f>
        <v>3.9969999999999999</v>
      </c>
      <c r="H31" s="96">
        <f>1.329+4-5.329</f>
        <v>0</v>
      </c>
      <c r="I31" s="75">
        <v>0.90300000000000002</v>
      </c>
      <c r="J31" s="8">
        <v>51010010024</v>
      </c>
      <c r="K31" s="19" t="s">
        <v>151</v>
      </c>
      <c r="L31" s="19" t="s">
        <v>152</v>
      </c>
      <c r="M31" s="3" t="s">
        <v>107</v>
      </c>
      <c r="N31" s="22" t="s">
        <v>373</v>
      </c>
      <c r="O31" s="73" t="s">
        <v>381</v>
      </c>
      <c r="P31" s="22" t="s">
        <v>407</v>
      </c>
      <c r="Q31" s="22" t="s">
        <v>373</v>
      </c>
      <c r="R31" s="22">
        <v>9</v>
      </c>
      <c r="S31" s="21">
        <v>39</v>
      </c>
      <c r="T31" s="22">
        <v>15</v>
      </c>
      <c r="U31" s="21">
        <v>0</v>
      </c>
      <c r="V31" s="21">
        <v>1</v>
      </c>
      <c r="W31" s="21">
        <v>0</v>
      </c>
      <c r="X31" s="22">
        <v>0</v>
      </c>
      <c r="Y31" s="101">
        <v>0.7</v>
      </c>
      <c r="Z31" s="127">
        <v>0</v>
      </c>
      <c r="AA31" s="87">
        <v>0</v>
      </c>
      <c r="AB31" s="29">
        <v>0</v>
      </c>
      <c r="AC31" s="29">
        <v>15000000000</v>
      </c>
      <c r="AD31" s="21">
        <v>0</v>
      </c>
      <c r="AE31" s="29">
        <f t="shared" si="0"/>
        <v>15000000000</v>
      </c>
      <c r="AF31" s="68" t="s">
        <v>354</v>
      </c>
      <c r="AG31" s="71"/>
    </row>
    <row r="32" spans="1:33" ht="82.8" x14ac:dyDescent="0.3">
      <c r="A32" s="148"/>
      <c r="B32" s="149">
        <v>0</v>
      </c>
      <c r="C32" s="148"/>
      <c r="D32" s="149">
        <v>0</v>
      </c>
      <c r="E32" s="75">
        <v>0</v>
      </c>
      <c r="F32" s="75">
        <f>1.087-1.087</f>
        <v>0</v>
      </c>
      <c r="G32" s="74">
        <v>1.1280000000000001</v>
      </c>
      <c r="H32" s="75">
        <v>1.1739999999999999</v>
      </c>
      <c r="I32" s="75">
        <v>1.9019999999999999</v>
      </c>
      <c r="J32" s="8">
        <v>51010010025</v>
      </c>
      <c r="K32" s="19" t="s">
        <v>153</v>
      </c>
      <c r="L32" s="19" t="s">
        <v>154</v>
      </c>
      <c r="M32" s="3" t="s">
        <v>107</v>
      </c>
      <c r="N32" s="22" t="s">
        <v>373</v>
      </c>
      <c r="O32" s="73" t="s">
        <v>408</v>
      </c>
      <c r="P32" s="22" t="s">
        <v>409</v>
      </c>
      <c r="Q32" s="22" t="s">
        <v>373</v>
      </c>
      <c r="R32" s="22">
        <v>9</v>
      </c>
      <c r="S32" s="21">
        <v>39</v>
      </c>
      <c r="T32" s="22">
        <v>17</v>
      </c>
      <c r="U32" s="21">
        <v>0</v>
      </c>
      <c r="V32" s="21">
        <v>1</v>
      </c>
      <c r="W32" s="48">
        <v>0</v>
      </c>
      <c r="X32" s="22">
        <v>0</v>
      </c>
      <c r="Y32" s="101">
        <v>0.8</v>
      </c>
      <c r="Z32" s="117">
        <v>1</v>
      </c>
      <c r="AA32" s="87">
        <v>0</v>
      </c>
      <c r="AB32" s="29">
        <v>0</v>
      </c>
      <c r="AC32" s="29">
        <v>77725440</v>
      </c>
      <c r="AD32" s="21">
        <v>69317640</v>
      </c>
      <c r="AE32" s="29">
        <f t="shared" si="0"/>
        <v>147043080</v>
      </c>
      <c r="AF32" s="68" t="s">
        <v>354</v>
      </c>
      <c r="AG32" s="71"/>
    </row>
    <row r="33" spans="1:46" s="14" customFormat="1" ht="55.2" x14ac:dyDescent="0.3">
      <c r="A33" s="148"/>
      <c r="B33" s="149">
        <v>0</v>
      </c>
      <c r="C33" s="148"/>
      <c r="D33" s="149">
        <v>0</v>
      </c>
      <c r="E33" s="75">
        <v>0</v>
      </c>
      <c r="F33" s="75">
        <f>1.383-1.383+1.012</f>
        <v>1.012</v>
      </c>
      <c r="G33" s="74">
        <v>1.5489999999999999</v>
      </c>
      <c r="H33" s="75">
        <f>1.661-0.5</f>
        <v>1.161</v>
      </c>
      <c r="I33" s="75">
        <v>1.1480000000000001</v>
      </c>
      <c r="J33" s="8">
        <v>51010010026</v>
      </c>
      <c r="K33" s="19" t="s">
        <v>155</v>
      </c>
      <c r="L33" s="19" t="s">
        <v>156</v>
      </c>
      <c r="M33" s="3" t="s">
        <v>107</v>
      </c>
      <c r="N33" s="22" t="s">
        <v>373</v>
      </c>
      <c r="O33" s="73" t="s">
        <v>410</v>
      </c>
      <c r="P33" s="22" t="s">
        <v>411</v>
      </c>
      <c r="Q33" s="22" t="s">
        <v>374</v>
      </c>
      <c r="R33" s="22">
        <v>9</v>
      </c>
      <c r="S33" s="21">
        <v>39</v>
      </c>
      <c r="T33" s="22">
        <v>17</v>
      </c>
      <c r="U33" s="21">
        <v>0</v>
      </c>
      <c r="V33" s="21">
        <v>2</v>
      </c>
      <c r="W33" s="21">
        <v>0</v>
      </c>
      <c r="X33" s="22">
        <v>1</v>
      </c>
      <c r="Y33" s="101">
        <v>1.4</v>
      </c>
      <c r="Z33" s="117">
        <v>2</v>
      </c>
      <c r="AA33" s="87">
        <v>0</v>
      </c>
      <c r="AB33" s="29">
        <v>30324000</v>
      </c>
      <c r="AC33" s="29">
        <v>342049280</v>
      </c>
      <c r="AD33" s="21">
        <v>37500680</v>
      </c>
      <c r="AE33" s="29">
        <f t="shared" si="0"/>
        <v>409873960</v>
      </c>
      <c r="AF33" s="68" t="s">
        <v>354</v>
      </c>
      <c r="AG33" s="7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55.2" x14ac:dyDescent="0.3">
      <c r="A34" s="148"/>
      <c r="B34" s="149">
        <v>0</v>
      </c>
      <c r="C34" s="148"/>
      <c r="D34" s="149">
        <v>0</v>
      </c>
      <c r="E34" s="75">
        <v>0</v>
      </c>
      <c r="F34" s="75">
        <f>1.151-1.151</f>
        <v>0</v>
      </c>
      <c r="G34" s="74">
        <v>1.6740000000000002</v>
      </c>
      <c r="H34" s="75">
        <v>1.248</v>
      </c>
      <c r="I34" s="75">
        <v>1.018</v>
      </c>
      <c r="J34" s="8">
        <v>51010010027</v>
      </c>
      <c r="K34" s="19" t="s">
        <v>157</v>
      </c>
      <c r="L34" s="19" t="s">
        <v>158</v>
      </c>
      <c r="M34" s="3" t="s">
        <v>107</v>
      </c>
      <c r="N34" s="22" t="s">
        <v>373</v>
      </c>
      <c r="O34" s="73" t="s">
        <v>381</v>
      </c>
      <c r="P34" s="22" t="s">
        <v>412</v>
      </c>
      <c r="Q34" s="22" t="s">
        <v>373</v>
      </c>
      <c r="R34" s="22">
        <v>9</v>
      </c>
      <c r="S34" s="21">
        <v>23</v>
      </c>
      <c r="T34" s="22">
        <v>17</v>
      </c>
      <c r="U34" s="21">
        <v>0</v>
      </c>
      <c r="V34" s="21">
        <v>1</v>
      </c>
      <c r="W34" s="21">
        <v>0</v>
      </c>
      <c r="X34" s="22">
        <v>0</v>
      </c>
      <c r="Y34" s="101">
        <v>0.8</v>
      </c>
      <c r="Z34" s="117">
        <v>1</v>
      </c>
      <c r="AA34" s="87">
        <v>0</v>
      </c>
      <c r="AB34" s="29">
        <v>0</v>
      </c>
      <c r="AC34" s="29">
        <v>42049280</v>
      </c>
      <c r="AD34" s="21">
        <v>37500680</v>
      </c>
      <c r="AE34" s="29">
        <f t="shared" si="0"/>
        <v>79549960</v>
      </c>
      <c r="AF34" s="68" t="s">
        <v>354</v>
      </c>
      <c r="AG34" s="71"/>
    </row>
    <row r="35" spans="1:46" ht="69" x14ac:dyDescent="0.3">
      <c r="A35" s="148"/>
      <c r="B35" s="149">
        <v>0</v>
      </c>
      <c r="C35" s="148"/>
      <c r="D35" s="149">
        <v>0</v>
      </c>
      <c r="E35" s="75">
        <v>5.0830000000000002</v>
      </c>
      <c r="F35" s="75">
        <f>1.464+1.481</f>
        <v>2.9450000000000003</v>
      </c>
      <c r="G35" s="74">
        <v>1.627</v>
      </c>
      <c r="H35" s="75">
        <f>1.675+1.679</f>
        <v>3.3540000000000001</v>
      </c>
      <c r="I35" s="75">
        <v>2.4609999999999999</v>
      </c>
      <c r="J35" s="8">
        <v>51010010028</v>
      </c>
      <c r="K35" s="19" t="s">
        <v>159</v>
      </c>
      <c r="L35" s="19" t="s">
        <v>160</v>
      </c>
      <c r="M35" s="3" t="s">
        <v>107</v>
      </c>
      <c r="N35" s="22" t="s">
        <v>373</v>
      </c>
      <c r="O35" s="73" t="s">
        <v>381</v>
      </c>
      <c r="P35" s="22" t="s">
        <v>413</v>
      </c>
      <c r="Q35" s="22" t="s">
        <v>373</v>
      </c>
      <c r="R35" s="22">
        <v>9</v>
      </c>
      <c r="S35" s="21">
        <v>23</v>
      </c>
      <c r="T35" s="22">
        <v>17</v>
      </c>
      <c r="U35" s="21">
        <v>0</v>
      </c>
      <c r="V35" s="21">
        <v>92</v>
      </c>
      <c r="W35" s="21">
        <v>11</v>
      </c>
      <c r="X35" s="21">
        <v>44</v>
      </c>
      <c r="Y35" s="94">
        <v>65</v>
      </c>
      <c r="Z35" s="116">
        <v>92</v>
      </c>
      <c r="AA35" s="87">
        <v>1766629342</v>
      </c>
      <c r="AB35" s="29">
        <v>1733294516</v>
      </c>
      <c r="AC35" s="29">
        <v>1785293351</v>
      </c>
      <c r="AD35" s="21">
        <v>1890545227</v>
      </c>
      <c r="AE35" s="29">
        <f t="shared" si="0"/>
        <v>7175762436</v>
      </c>
      <c r="AF35" s="68" t="s">
        <v>358</v>
      </c>
      <c r="AG35" s="71"/>
    </row>
    <row r="36" spans="1:46" ht="69" x14ac:dyDescent="0.3">
      <c r="A36" s="148"/>
      <c r="B36" s="149">
        <v>0</v>
      </c>
      <c r="C36" s="148"/>
      <c r="D36" s="149">
        <v>0</v>
      </c>
      <c r="E36" s="75">
        <v>3.0539999999999998</v>
      </c>
      <c r="F36" s="75">
        <v>1.028</v>
      </c>
      <c r="G36" s="74">
        <v>1.0389999999999999</v>
      </c>
      <c r="H36" s="75">
        <v>0</v>
      </c>
      <c r="I36" s="75">
        <v>1.28</v>
      </c>
      <c r="J36" s="8">
        <v>51010010029</v>
      </c>
      <c r="K36" s="19" t="s">
        <v>161</v>
      </c>
      <c r="L36" s="19" t="s">
        <v>162</v>
      </c>
      <c r="M36" s="3" t="s">
        <v>107</v>
      </c>
      <c r="N36" s="22" t="s">
        <v>373</v>
      </c>
      <c r="O36" s="73" t="s">
        <v>381</v>
      </c>
      <c r="P36" s="22" t="s">
        <v>1757</v>
      </c>
      <c r="Q36" s="22" t="s">
        <v>373</v>
      </c>
      <c r="R36" s="22">
        <v>9</v>
      </c>
      <c r="S36" s="21">
        <v>35</v>
      </c>
      <c r="T36" s="22">
        <v>13</v>
      </c>
      <c r="U36" s="21">
        <v>0</v>
      </c>
      <c r="V36" s="21">
        <v>3</v>
      </c>
      <c r="W36" s="21">
        <v>1</v>
      </c>
      <c r="X36" s="21">
        <v>1</v>
      </c>
      <c r="Y36" s="94">
        <v>3</v>
      </c>
      <c r="Z36" s="116">
        <v>0</v>
      </c>
      <c r="AA36" s="87">
        <v>87300000</v>
      </c>
      <c r="AB36" s="29">
        <v>120000000</v>
      </c>
      <c r="AC36" s="29">
        <v>114200000</v>
      </c>
      <c r="AD36" s="21">
        <v>0</v>
      </c>
      <c r="AE36" s="29">
        <f t="shared" si="0"/>
        <v>321500000</v>
      </c>
      <c r="AF36" s="68" t="s">
        <v>357</v>
      </c>
      <c r="AG36" s="71"/>
    </row>
    <row r="37" spans="1:46" ht="41.4" x14ac:dyDescent="0.3">
      <c r="A37" s="148"/>
      <c r="B37" s="149">
        <v>0</v>
      </c>
      <c r="C37" s="148"/>
      <c r="D37" s="149">
        <v>0</v>
      </c>
      <c r="E37" s="75">
        <v>5.84</v>
      </c>
      <c r="F37" s="75">
        <f>1.393+1.151</f>
        <v>2.544</v>
      </c>
      <c r="G37" s="74">
        <v>3.8219999999999996</v>
      </c>
      <c r="H37" s="75">
        <f>4.266+0.519+0.4</f>
        <v>5.1850000000000005</v>
      </c>
      <c r="I37" s="75">
        <v>3.827</v>
      </c>
      <c r="J37" s="8">
        <v>51010010030</v>
      </c>
      <c r="K37" s="19" t="s">
        <v>163</v>
      </c>
      <c r="L37" s="19" t="s">
        <v>164</v>
      </c>
      <c r="M37" s="3" t="s">
        <v>107</v>
      </c>
      <c r="N37" s="22" t="s">
        <v>373</v>
      </c>
      <c r="O37" s="73" t="s">
        <v>414</v>
      </c>
      <c r="P37" s="22" t="s">
        <v>415</v>
      </c>
      <c r="Q37" s="22" t="s">
        <v>373</v>
      </c>
      <c r="R37" s="22">
        <v>9</v>
      </c>
      <c r="S37" s="21">
        <v>23</v>
      </c>
      <c r="T37" s="22">
        <v>6</v>
      </c>
      <c r="U37" s="21">
        <v>5000</v>
      </c>
      <c r="V37" s="21">
        <v>65000</v>
      </c>
      <c r="W37" s="21">
        <v>18000</v>
      </c>
      <c r="X37" s="21">
        <v>23000</v>
      </c>
      <c r="Y37" s="94">
        <v>41000</v>
      </c>
      <c r="Z37" s="116">
        <v>65000</v>
      </c>
      <c r="AA37" s="87">
        <v>3000000000</v>
      </c>
      <c r="AB37" s="29">
        <v>3000000000</v>
      </c>
      <c r="AC37" s="29">
        <v>9500000000</v>
      </c>
      <c r="AD37" s="21">
        <v>12000000000</v>
      </c>
      <c r="AE37" s="29">
        <f t="shared" si="0"/>
        <v>27500000000</v>
      </c>
      <c r="AF37" s="68" t="s">
        <v>365</v>
      </c>
      <c r="AG37" s="71"/>
    </row>
    <row r="38" spans="1:46" ht="55.2" x14ac:dyDescent="0.3">
      <c r="A38" s="148"/>
      <c r="B38" s="149">
        <v>0</v>
      </c>
      <c r="C38" s="148"/>
      <c r="D38" s="149">
        <v>0</v>
      </c>
      <c r="E38" s="75">
        <v>3.3069999999999999</v>
      </c>
      <c r="F38" s="75">
        <f>1.29+1.383</f>
        <v>2.673</v>
      </c>
      <c r="G38" s="74">
        <v>1.5879999999999999</v>
      </c>
      <c r="H38" s="75">
        <f>1.933+0.567+1.2</f>
        <v>3.7</v>
      </c>
      <c r="I38" s="75">
        <v>2.0289999999999999</v>
      </c>
      <c r="J38" s="8">
        <v>51010010031</v>
      </c>
      <c r="K38" s="19" t="s">
        <v>165</v>
      </c>
      <c r="L38" s="19" t="s">
        <v>166</v>
      </c>
      <c r="M38" s="3" t="s">
        <v>107</v>
      </c>
      <c r="N38" s="22" t="s">
        <v>373</v>
      </c>
      <c r="O38" s="73" t="s">
        <v>414</v>
      </c>
      <c r="P38" s="22" t="s">
        <v>416</v>
      </c>
      <c r="Q38" s="22" t="s">
        <v>373</v>
      </c>
      <c r="R38" s="22">
        <v>9</v>
      </c>
      <c r="S38" s="21">
        <v>23</v>
      </c>
      <c r="T38" s="22">
        <v>15</v>
      </c>
      <c r="U38" s="21">
        <v>0</v>
      </c>
      <c r="V38" s="21">
        <v>50</v>
      </c>
      <c r="W38" s="21">
        <v>1</v>
      </c>
      <c r="X38" s="21">
        <v>15</v>
      </c>
      <c r="Y38" s="94">
        <v>29</v>
      </c>
      <c r="Z38" s="116">
        <v>50</v>
      </c>
      <c r="AA38" s="87">
        <v>500000000</v>
      </c>
      <c r="AB38" s="29">
        <v>1850000000</v>
      </c>
      <c r="AC38" s="29">
        <v>1875000000</v>
      </c>
      <c r="AD38" s="21">
        <v>1687500000</v>
      </c>
      <c r="AE38" s="29">
        <f t="shared" si="0"/>
        <v>5912500000</v>
      </c>
      <c r="AF38" s="68" t="s">
        <v>365</v>
      </c>
      <c r="AG38" s="71"/>
    </row>
    <row r="39" spans="1:46" ht="55.2" x14ac:dyDescent="0.3">
      <c r="A39" s="148"/>
      <c r="B39" s="149">
        <v>0</v>
      </c>
      <c r="C39" s="148"/>
      <c r="D39" s="149">
        <v>0</v>
      </c>
      <c r="E39" s="75">
        <v>3.613</v>
      </c>
      <c r="F39" s="75">
        <v>1.5810000000000002</v>
      </c>
      <c r="G39" s="74">
        <v>1.7840000000000003</v>
      </c>
      <c r="H39" s="75">
        <f>1.067-0.5-0.567</f>
        <v>0</v>
      </c>
      <c r="I39" s="75">
        <v>2.0099999999999998</v>
      </c>
      <c r="J39" s="8">
        <v>51010010032</v>
      </c>
      <c r="K39" s="19" t="s">
        <v>167</v>
      </c>
      <c r="L39" s="19" t="s">
        <v>168</v>
      </c>
      <c r="M39" s="3" t="s">
        <v>107</v>
      </c>
      <c r="N39" s="22" t="s">
        <v>374</v>
      </c>
      <c r="O39" s="73" t="s">
        <v>417</v>
      </c>
      <c r="P39" s="22" t="s">
        <v>418</v>
      </c>
      <c r="Q39" s="22" t="s">
        <v>373</v>
      </c>
      <c r="R39" s="22">
        <v>9</v>
      </c>
      <c r="S39" s="21">
        <v>23</v>
      </c>
      <c r="T39" s="22">
        <v>15</v>
      </c>
      <c r="U39" s="21">
        <v>0</v>
      </c>
      <c r="V39" s="21">
        <v>100</v>
      </c>
      <c r="W39" s="21">
        <v>5</v>
      </c>
      <c r="X39" s="21">
        <v>35</v>
      </c>
      <c r="Y39" s="94">
        <v>65</v>
      </c>
      <c r="Z39" s="116">
        <v>0</v>
      </c>
      <c r="AA39" s="87">
        <v>1000000000</v>
      </c>
      <c r="AB39" s="29">
        <v>3500000000</v>
      </c>
      <c r="AC39" s="29">
        <v>2500000000</v>
      </c>
      <c r="AD39" s="21">
        <v>0</v>
      </c>
      <c r="AE39" s="29">
        <f t="shared" si="0"/>
        <v>7000000000</v>
      </c>
      <c r="AF39" s="68" t="s">
        <v>365</v>
      </c>
      <c r="AG39" s="71"/>
    </row>
    <row r="40" spans="1:46" ht="55.2" x14ac:dyDescent="0.3">
      <c r="A40" s="148"/>
      <c r="B40" s="149">
        <v>0</v>
      </c>
      <c r="C40" s="148"/>
      <c r="D40" s="149">
        <v>0</v>
      </c>
      <c r="E40" s="75">
        <v>0</v>
      </c>
      <c r="F40" s="75">
        <v>1.105</v>
      </c>
      <c r="G40" s="74">
        <v>1.141</v>
      </c>
      <c r="H40" s="75">
        <f>1.16-0.4-0.4-0.12-0.12-0.12</f>
        <v>-1.1102230246251565E-16</v>
      </c>
      <c r="I40" s="75">
        <v>0.85099999999999998</v>
      </c>
      <c r="J40" s="8">
        <v>51010010033</v>
      </c>
      <c r="K40" s="19" t="s">
        <v>169</v>
      </c>
      <c r="L40" s="19" t="s">
        <v>170</v>
      </c>
      <c r="M40" s="3" t="s">
        <v>107</v>
      </c>
      <c r="N40" s="22" t="s">
        <v>373</v>
      </c>
      <c r="O40" s="73" t="s">
        <v>419</v>
      </c>
      <c r="P40" s="22" t="s">
        <v>420</v>
      </c>
      <c r="Q40" s="22" t="s">
        <v>373</v>
      </c>
      <c r="R40" s="22">
        <v>9</v>
      </c>
      <c r="S40" s="21">
        <v>39</v>
      </c>
      <c r="T40" s="22">
        <v>13</v>
      </c>
      <c r="U40" s="21">
        <v>0</v>
      </c>
      <c r="V40" s="21">
        <v>150</v>
      </c>
      <c r="W40" s="21">
        <v>0</v>
      </c>
      <c r="X40" s="21">
        <v>35</v>
      </c>
      <c r="Y40" s="94">
        <v>89</v>
      </c>
      <c r="Z40" s="116">
        <v>0</v>
      </c>
      <c r="AA40" s="87">
        <v>0</v>
      </c>
      <c r="AB40" s="29">
        <v>250000000</v>
      </c>
      <c r="AC40" s="29">
        <v>346806600</v>
      </c>
      <c r="AD40" s="21">
        <v>0</v>
      </c>
      <c r="AE40" s="29">
        <f t="shared" si="0"/>
        <v>596806600</v>
      </c>
      <c r="AF40" s="68" t="s">
        <v>364</v>
      </c>
      <c r="AG40" s="71"/>
    </row>
    <row r="41" spans="1:46" ht="55.2" x14ac:dyDescent="0.3">
      <c r="A41" s="148"/>
      <c r="B41" s="149">
        <v>0</v>
      </c>
      <c r="C41" s="148"/>
      <c r="D41" s="149">
        <v>0</v>
      </c>
      <c r="E41" s="75">
        <v>3.7669999999999999</v>
      </c>
      <c r="F41" s="75">
        <f>1.451+1.069</f>
        <v>2.52</v>
      </c>
      <c r="G41" s="74">
        <v>2.3519999999999999</v>
      </c>
      <c r="H41" s="75">
        <f>3.555+0.2</f>
        <v>3.7550000000000003</v>
      </c>
      <c r="I41" s="75">
        <v>2.78</v>
      </c>
      <c r="J41" s="8">
        <v>51010010034</v>
      </c>
      <c r="K41" s="19" t="s">
        <v>171</v>
      </c>
      <c r="L41" s="19" t="s">
        <v>172</v>
      </c>
      <c r="M41" s="3" t="s">
        <v>107</v>
      </c>
      <c r="N41" s="22" t="s">
        <v>373</v>
      </c>
      <c r="O41" s="73" t="s">
        <v>414</v>
      </c>
      <c r="P41" s="22" t="s">
        <v>421</v>
      </c>
      <c r="Q41" s="22" t="s">
        <v>373</v>
      </c>
      <c r="R41" s="22">
        <v>9</v>
      </c>
      <c r="S41" s="21">
        <v>23</v>
      </c>
      <c r="T41" s="22">
        <v>6</v>
      </c>
      <c r="U41" s="21">
        <v>42</v>
      </c>
      <c r="V41" s="21">
        <v>242</v>
      </c>
      <c r="W41" s="21">
        <v>43</v>
      </c>
      <c r="X41" s="21">
        <v>102</v>
      </c>
      <c r="Y41" s="94">
        <v>142</v>
      </c>
      <c r="Z41" s="116">
        <v>242</v>
      </c>
      <c r="AA41" s="87">
        <v>1250000000</v>
      </c>
      <c r="AB41" s="29">
        <v>7500000000</v>
      </c>
      <c r="AC41" s="29">
        <v>7500000000</v>
      </c>
      <c r="AD41" s="21">
        <v>6000000000</v>
      </c>
      <c r="AE41" s="29">
        <f t="shared" si="0"/>
        <v>22250000000</v>
      </c>
      <c r="AF41" s="68" t="s">
        <v>365</v>
      </c>
      <c r="AG41" s="71"/>
    </row>
    <row r="42" spans="1:46" ht="27.6" x14ac:dyDescent="0.3">
      <c r="A42" s="148"/>
      <c r="B42" s="149">
        <v>0</v>
      </c>
      <c r="C42" s="148"/>
      <c r="D42" s="149">
        <v>0</v>
      </c>
      <c r="E42" s="75">
        <v>0</v>
      </c>
      <c r="F42" s="75">
        <v>1.0999999999999999</v>
      </c>
      <c r="G42" s="74">
        <v>1.0999999999999999</v>
      </c>
      <c r="H42" s="75">
        <f>1.1-1.1</f>
        <v>0</v>
      </c>
      <c r="I42" s="75">
        <v>1.0999999999999999</v>
      </c>
      <c r="J42" s="8">
        <v>51010010035</v>
      </c>
      <c r="K42" s="19" t="s">
        <v>173</v>
      </c>
      <c r="L42" s="19" t="s">
        <v>174</v>
      </c>
      <c r="M42" s="3" t="s">
        <v>175</v>
      </c>
      <c r="N42" s="22" t="s">
        <v>373</v>
      </c>
      <c r="O42" s="73" t="s">
        <v>381</v>
      </c>
      <c r="P42" s="22" t="s">
        <v>422</v>
      </c>
      <c r="Q42" s="22" t="s">
        <v>373</v>
      </c>
      <c r="R42" s="22">
        <v>11</v>
      </c>
      <c r="S42" s="21">
        <v>39</v>
      </c>
      <c r="T42" s="22">
        <v>13</v>
      </c>
      <c r="U42" s="21">
        <v>0</v>
      </c>
      <c r="V42" s="21">
        <v>1</v>
      </c>
      <c r="W42" s="48">
        <v>0</v>
      </c>
      <c r="X42" s="48">
        <v>0.3</v>
      </c>
      <c r="Y42" s="103">
        <v>0.95</v>
      </c>
      <c r="Z42" s="121">
        <v>0</v>
      </c>
      <c r="AA42" s="87">
        <v>0</v>
      </c>
      <c r="AB42" s="29">
        <v>100000000</v>
      </c>
      <c r="AC42" s="29">
        <v>10000000</v>
      </c>
      <c r="AD42" s="21">
        <v>0</v>
      </c>
      <c r="AE42" s="29">
        <f t="shared" si="0"/>
        <v>110000000</v>
      </c>
      <c r="AF42" s="68" t="s">
        <v>366</v>
      </c>
      <c r="AG42" s="71"/>
    </row>
    <row r="43" spans="1:46" ht="41.4" x14ac:dyDescent="0.3">
      <c r="A43" s="148"/>
      <c r="B43" s="149">
        <v>0</v>
      </c>
      <c r="C43" s="148"/>
      <c r="D43" s="149">
        <v>0</v>
      </c>
      <c r="E43" s="75">
        <v>0</v>
      </c>
      <c r="F43" s="75">
        <v>1.1159999999999999</v>
      </c>
      <c r="G43" s="74">
        <v>0</v>
      </c>
      <c r="H43" s="75">
        <v>0</v>
      </c>
      <c r="I43" s="75">
        <v>0.27899999999999997</v>
      </c>
      <c r="J43" s="8">
        <v>51010010036</v>
      </c>
      <c r="K43" s="19" t="s">
        <v>176</v>
      </c>
      <c r="L43" s="19" t="s">
        <v>177</v>
      </c>
      <c r="M43" s="3" t="s">
        <v>107</v>
      </c>
      <c r="N43" s="22" t="s">
        <v>373</v>
      </c>
      <c r="O43" s="73" t="s">
        <v>381</v>
      </c>
      <c r="P43" s="22" t="s">
        <v>423</v>
      </c>
      <c r="Q43" s="22" t="s">
        <v>373</v>
      </c>
      <c r="R43" s="22">
        <v>9</v>
      </c>
      <c r="S43" s="21">
        <v>23</v>
      </c>
      <c r="T43" s="22">
        <v>13</v>
      </c>
      <c r="U43" s="21">
        <v>0</v>
      </c>
      <c r="V43" s="21">
        <v>1</v>
      </c>
      <c r="W43" s="21">
        <v>0</v>
      </c>
      <c r="X43" s="21">
        <v>1</v>
      </c>
      <c r="Y43" s="94">
        <v>0</v>
      </c>
      <c r="Z43" s="116">
        <v>0</v>
      </c>
      <c r="AA43" s="87">
        <v>0</v>
      </c>
      <c r="AB43" s="29">
        <v>300000000</v>
      </c>
      <c r="AC43" s="29">
        <v>0</v>
      </c>
      <c r="AD43" s="21">
        <v>0</v>
      </c>
      <c r="AE43" s="29">
        <f t="shared" si="0"/>
        <v>300000000</v>
      </c>
      <c r="AF43" s="68" t="s">
        <v>364</v>
      </c>
      <c r="AG43" s="71"/>
    </row>
    <row r="44" spans="1:46" ht="55.2" x14ac:dyDescent="0.3">
      <c r="A44" s="148"/>
      <c r="B44" s="149">
        <v>0</v>
      </c>
      <c r="C44" s="148"/>
      <c r="D44" s="149">
        <v>0</v>
      </c>
      <c r="E44" s="75">
        <v>0</v>
      </c>
      <c r="F44" s="75">
        <v>1.081</v>
      </c>
      <c r="G44" s="74">
        <v>0</v>
      </c>
      <c r="H44" s="75">
        <v>0</v>
      </c>
      <c r="I44" s="75">
        <v>0.27</v>
      </c>
      <c r="J44" s="8">
        <v>51010010037</v>
      </c>
      <c r="K44" s="19" t="s">
        <v>178</v>
      </c>
      <c r="L44" s="19" t="s">
        <v>179</v>
      </c>
      <c r="M44" s="3" t="s">
        <v>107</v>
      </c>
      <c r="N44" s="22" t="s">
        <v>373</v>
      </c>
      <c r="O44" s="73" t="s">
        <v>381</v>
      </c>
      <c r="P44" s="22" t="s">
        <v>424</v>
      </c>
      <c r="Q44" s="22" t="s">
        <v>373</v>
      </c>
      <c r="R44" s="22">
        <v>9</v>
      </c>
      <c r="S44" s="21">
        <v>23</v>
      </c>
      <c r="T44" s="22">
        <v>13</v>
      </c>
      <c r="U44" s="21">
        <v>0</v>
      </c>
      <c r="V44" s="21">
        <v>1</v>
      </c>
      <c r="W44" s="21">
        <v>0</v>
      </c>
      <c r="X44" s="21">
        <v>1</v>
      </c>
      <c r="Y44" s="94">
        <v>0</v>
      </c>
      <c r="Z44" s="116">
        <v>0</v>
      </c>
      <c r="AA44" s="87">
        <v>0</v>
      </c>
      <c r="AB44" s="29">
        <v>250000000</v>
      </c>
      <c r="AC44" s="29">
        <v>0</v>
      </c>
      <c r="AD44" s="21">
        <v>0</v>
      </c>
      <c r="AE44" s="29">
        <f t="shared" si="0"/>
        <v>250000000</v>
      </c>
      <c r="AF44" s="68" t="s">
        <v>364</v>
      </c>
      <c r="AG44" s="71"/>
    </row>
    <row r="45" spans="1:46" ht="55.2" x14ac:dyDescent="0.3">
      <c r="A45" s="148"/>
      <c r="B45" s="149">
        <v>0</v>
      </c>
      <c r="C45" s="148"/>
      <c r="D45" s="149">
        <v>0</v>
      </c>
      <c r="E45" s="75">
        <v>0</v>
      </c>
      <c r="F45" s="75">
        <v>1.4179999999999999</v>
      </c>
      <c r="G45" s="74">
        <v>1.47</v>
      </c>
      <c r="H45" s="75">
        <f>1.533+0.12</f>
        <v>1.653</v>
      </c>
      <c r="I45" s="75">
        <v>1.105</v>
      </c>
      <c r="J45" s="8">
        <v>51010010038</v>
      </c>
      <c r="K45" s="19" t="s">
        <v>180</v>
      </c>
      <c r="L45" s="19" t="s">
        <v>181</v>
      </c>
      <c r="M45" s="3" t="s">
        <v>107</v>
      </c>
      <c r="N45" s="22" t="s">
        <v>373</v>
      </c>
      <c r="O45" s="73" t="s">
        <v>381</v>
      </c>
      <c r="P45" s="22" t="s">
        <v>425</v>
      </c>
      <c r="Q45" s="22" t="s">
        <v>373</v>
      </c>
      <c r="R45" s="22">
        <v>9</v>
      </c>
      <c r="S45" s="21">
        <v>23</v>
      </c>
      <c r="T45" s="22">
        <v>1</v>
      </c>
      <c r="U45" s="21">
        <v>0</v>
      </c>
      <c r="V45" s="21">
        <v>3200</v>
      </c>
      <c r="W45" s="21">
        <v>0</v>
      </c>
      <c r="X45" s="21">
        <v>200</v>
      </c>
      <c r="Y45" s="94">
        <v>1080</v>
      </c>
      <c r="Z45" s="116">
        <v>3200</v>
      </c>
      <c r="AA45" s="87">
        <v>0</v>
      </c>
      <c r="AB45" s="29">
        <v>300000000</v>
      </c>
      <c r="AC45" s="29">
        <v>700000000</v>
      </c>
      <c r="AD45" s="21">
        <v>374938000</v>
      </c>
      <c r="AE45" s="29">
        <f t="shared" si="0"/>
        <v>1374938000</v>
      </c>
      <c r="AF45" s="68" t="s">
        <v>364</v>
      </c>
      <c r="AG45" s="71"/>
    </row>
    <row r="46" spans="1:46" ht="55.2" x14ac:dyDescent="0.3">
      <c r="A46" s="148"/>
      <c r="B46" s="149">
        <v>0</v>
      </c>
      <c r="C46" s="148"/>
      <c r="D46" s="149">
        <v>0</v>
      </c>
      <c r="E46" s="75">
        <v>0</v>
      </c>
      <c r="F46" s="75">
        <v>1.2090000000000001</v>
      </c>
      <c r="G46" s="74">
        <f>1.282-1.282</f>
        <v>0</v>
      </c>
      <c r="H46" s="75">
        <v>1.6400000000000001</v>
      </c>
      <c r="I46" s="75">
        <v>1.0330000000000001</v>
      </c>
      <c r="J46" s="8">
        <v>51010010039</v>
      </c>
      <c r="K46" s="19" t="s">
        <v>182</v>
      </c>
      <c r="L46" s="19" t="s">
        <v>183</v>
      </c>
      <c r="M46" s="3" t="s">
        <v>107</v>
      </c>
      <c r="N46" s="22" t="s">
        <v>373</v>
      </c>
      <c r="O46" s="73" t="s">
        <v>381</v>
      </c>
      <c r="P46" s="22" t="s">
        <v>426</v>
      </c>
      <c r="Q46" s="22" t="s">
        <v>373</v>
      </c>
      <c r="R46" s="22">
        <v>9</v>
      </c>
      <c r="S46" s="21">
        <v>23</v>
      </c>
      <c r="T46" s="22">
        <v>13</v>
      </c>
      <c r="U46" s="21">
        <v>0</v>
      </c>
      <c r="V46" s="21">
        <v>400</v>
      </c>
      <c r="W46" s="21">
        <v>0</v>
      </c>
      <c r="X46" s="21">
        <v>30</v>
      </c>
      <c r="Y46" s="94">
        <v>0</v>
      </c>
      <c r="Z46" s="116">
        <v>400</v>
      </c>
      <c r="AA46" s="87">
        <v>0</v>
      </c>
      <c r="AB46" s="29">
        <v>200000000</v>
      </c>
      <c r="AC46" s="29">
        <v>0</v>
      </c>
      <c r="AD46" s="21">
        <v>137210000</v>
      </c>
      <c r="AE46" s="29">
        <f t="shared" si="0"/>
        <v>337210000</v>
      </c>
      <c r="AF46" s="68" t="s">
        <v>364</v>
      </c>
      <c r="AG46" s="71"/>
    </row>
    <row r="47" spans="1:46" ht="55.2" x14ac:dyDescent="0.3">
      <c r="A47" s="148"/>
      <c r="B47" s="149">
        <v>0</v>
      </c>
      <c r="C47" s="148"/>
      <c r="D47" s="149">
        <v>0</v>
      </c>
      <c r="E47" s="75">
        <v>3.7669999999999999</v>
      </c>
      <c r="F47" s="75">
        <v>1.29</v>
      </c>
      <c r="G47" s="74">
        <f>1.392+0.8</f>
        <v>2.1920000000000002</v>
      </c>
      <c r="H47" s="75">
        <f>1.444+0.289</f>
        <v>1.7329999999999999</v>
      </c>
      <c r="I47" s="75">
        <v>1.9720000000000002</v>
      </c>
      <c r="J47" s="8">
        <v>51010010040</v>
      </c>
      <c r="K47" s="19" t="s">
        <v>184</v>
      </c>
      <c r="L47" s="19" t="s">
        <v>185</v>
      </c>
      <c r="M47" s="3" t="s">
        <v>107</v>
      </c>
      <c r="N47" s="22" t="s">
        <v>374</v>
      </c>
      <c r="O47" s="73" t="s">
        <v>427</v>
      </c>
      <c r="P47" s="22" t="s">
        <v>428</v>
      </c>
      <c r="Q47" s="22" t="s">
        <v>374</v>
      </c>
      <c r="R47" s="22">
        <v>11</v>
      </c>
      <c r="S47" s="21">
        <v>24</v>
      </c>
      <c r="T47" s="22">
        <v>9</v>
      </c>
      <c r="U47" s="21">
        <v>0</v>
      </c>
      <c r="V47" s="21">
        <v>100</v>
      </c>
      <c r="W47" s="21">
        <v>25</v>
      </c>
      <c r="X47" s="21">
        <v>48</v>
      </c>
      <c r="Y47" s="94">
        <v>74</v>
      </c>
      <c r="Z47" s="116">
        <v>100</v>
      </c>
      <c r="AA47" s="87">
        <v>1250000000</v>
      </c>
      <c r="AB47" s="29">
        <v>60000000</v>
      </c>
      <c r="AC47" s="29">
        <v>5854698324</v>
      </c>
      <c r="AD47" s="21">
        <v>216000000</v>
      </c>
      <c r="AE47" s="29">
        <f t="shared" si="0"/>
        <v>7380698324</v>
      </c>
      <c r="AF47" s="68" t="s">
        <v>367</v>
      </c>
      <c r="AG47" s="71"/>
    </row>
    <row r="48" spans="1:46" ht="124.2" x14ac:dyDescent="0.3">
      <c r="A48" s="148"/>
      <c r="B48" s="149">
        <v>0</v>
      </c>
      <c r="C48" s="148"/>
      <c r="D48" s="149">
        <v>0</v>
      </c>
      <c r="E48" s="75">
        <v>6.1870000000000003</v>
      </c>
      <c r="F48" s="75">
        <v>1.63</v>
      </c>
      <c r="G48" s="74">
        <v>1.137</v>
      </c>
      <c r="H48" s="75">
        <f>1.328+1+0.5+0.4</f>
        <v>3.2280000000000002</v>
      </c>
      <c r="I48" s="75">
        <v>2.3170000000000002</v>
      </c>
      <c r="J48" s="8">
        <v>51010010041</v>
      </c>
      <c r="K48" s="19" t="s">
        <v>186</v>
      </c>
      <c r="L48" s="19" t="s">
        <v>187</v>
      </c>
      <c r="M48" s="3" t="s">
        <v>107</v>
      </c>
      <c r="N48" s="22" t="s">
        <v>373</v>
      </c>
      <c r="O48" s="73" t="s">
        <v>429</v>
      </c>
      <c r="P48" s="22" t="s">
        <v>430</v>
      </c>
      <c r="Q48" s="22" t="s">
        <v>373</v>
      </c>
      <c r="R48" s="22">
        <v>11</v>
      </c>
      <c r="S48" s="21">
        <v>32</v>
      </c>
      <c r="T48" s="22">
        <v>10</v>
      </c>
      <c r="U48" s="21">
        <v>0</v>
      </c>
      <c r="V48" s="21">
        <v>1</v>
      </c>
      <c r="W48" s="33">
        <v>0.1</v>
      </c>
      <c r="X48" s="33">
        <v>0.2</v>
      </c>
      <c r="Y48" s="103">
        <v>0.3</v>
      </c>
      <c r="Z48" s="116">
        <v>1</v>
      </c>
      <c r="AA48" s="105">
        <v>3566222996</v>
      </c>
      <c r="AB48" s="49">
        <v>3408962859</v>
      </c>
      <c r="AC48" s="49">
        <v>4666546500</v>
      </c>
      <c r="AD48" s="21">
        <v>3817374624</v>
      </c>
      <c r="AE48" s="29">
        <f t="shared" si="0"/>
        <v>15459106979</v>
      </c>
      <c r="AF48" s="68" t="s">
        <v>368</v>
      </c>
      <c r="AG48" s="71"/>
    </row>
    <row r="49" spans="1:33" ht="55.2" x14ac:dyDescent="0.3">
      <c r="A49" s="148"/>
      <c r="B49" s="149">
        <v>0</v>
      </c>
      <c r="C49" s="148"/>
      <c r="D49" s="149">
        <v>0</v>
      </c>
      <c r="E49" s="75">
        <v>0</v>
      </c>
      <c r="F49" s="75">
        <f>2.322-2.322+2.8</f>
        <v>2.8</v>
      </c>
      <c r="G49" s="74">
        <f>3.135+1.097+1.1+2</f>
        <v>7.331999999999999</v>
      </c>
      <c r="H49" s="75">
        <f>1.778+4</f>
        <v>5.7780000000000005</v>
      </c>
      <c r="I49" s="75">
        <v>1.8089999999999999</v>
      </c>
      <c r="J49" s="8">
        <v>51010010042</v>
      </c>
      <c r="K49" s="19" t="s">
        <v>188</v>
      </c>
      <c r="L49" s="19" t="s">
        <v>189</v>
      </c>
      <c r="M49" s="3" t="s">
        <v>107</v>
      </c>
      <c r="N49" s="22" t="s">
        <v>373</v>
      </c>
      <c r="O49" s="73" t="s">
        <v>381</v>
      </c>
      <c r="P49" s="22" t="s">
        <v>431</v>
      </c>
      <c r="Q49" s="22" t="s">
        <v>373</v>
      </c>
      <c r="R49" s="22">
        <v>11</v>
      </c>
      <c r="S49" s="21">
        <v>24</v>
      </c>
      <c r="T49" s="22">
        <v>9</v>
      </c>
      <c r="U49" s="21">
        <v>89</v>
      </c>
      <c r="V49" s="21">
        <v>289</v>
      </c>
      <c r="W49" s="21">
        <v>0</v>
      </c>
      <c r="X49" s="21">
        <v>129</v>
      </c>
      <c r="Y49" s="94">
        <v>189</v>
      </c>
      <c r="Z49" s="116">
        <v>289</v>
      </c>
      <c r="AA49" s="87">
        <v>0</v>
      </c>
      <c r="AB49" s="29">
        <v>4962781704</v>
      </c>
      <c r="AC49" s="29">
        <v>58180630037</v>
      </c>
      <c r="AD49" s="21">
        <v>43078205603</v>
      </c>
      <c r="AE49" s="29">
        <f t="shared" si="0"/>
        <v>106221617344</v>
      </c>
      <c r="AF49" s="68" t="s">
        <v>362</v>
      </c>
      <c r="AG49" s="71"/>
    </row>
    <row r="50" spans="1:33" ht="55.2" x14ac:dyDescent="0.3">
      <c r="A50" s="148"/>
      <c r="B50" s="149">
        <v>0</v>
      </c>
      <c r="C50" s="148"/>
      <c r="D50" s="149">
        <v>0</v>
      </c>
      <c r="E50" s="75">
        <v>3.2480000000000002</v>
      </c>
      <c r="F50" s="75">
        <f>17.934-2.8</f>
        <v>15.134</v>
      </c>
      <c r="G50" s="74">
        <v>1.1419999999999999</v>
      </c>
      <c r="H50" s="75">
        <v>1.171</v>
      </c>
      <c r="I50" s="75">
        <v>5.8729999999999993</v>
      </c>
      <c r="J50" s="8">
        <v>51010010043</v>
      </c>
      <c r="K50" s="19" t="s">
        <v>190</v>
      </c>
      <c r="L50" s="19" t="s">
        <v>191</v>
      </c>
      <c r="M50" s="3" t="s">
        <v>107</v>
      </c>
      <c r="N50" s="22" t="s">
        <v>373</v>
      </c>
      <c r="O50" s="73" t="s">
        <v>381</v>
      </c>
      <c r="P50" s="22" t="s">
        <v>432</v>
      </c>
      <c r="Q50" s="22" t="s">
        <v>373</v>
      </c>
      <c r="R50" s="22">
        <v>11</v>
      </c>
      <c r="S50" s="21">
        <v>40</v>
      </c>
      <c r="T50" s="22">
        <v>15</v>
      </c>
      <c r="U50" s="21">
        <v>10576</v>
      </c>
      <c r="V50" s="21">
        <v>15000</v>
      </c>
      <c r="W50" s="21">
        <v>10576</v>
      </c>
      <c r="X50" s="21">
        <v>12000</v>
      </c>
      <c r="Y50" s="94">
        <v>13500</v>
      </c>
      <c r="Z50" s="116">
        <v>15000</v>
      </c>
      <c r="AA50" s="87">
        <v>404000000</v>
      </c>
      <c r="AB50" s="29">
        <v>561196000</v>
      </c>
      <c r="AC50" s="29">
        <v>1500000000</v>
      </c>
      <c r="AD50" s="21">
        <v>51279000</v>
      </c>
      <c r="AE50" s="29">
        <f t="shared" si="0"/>
        <v>2516475000</v>
      </c>
      <c r="AF50" s="68" t="s">
        <v>363</v>
      </c>
      <c r="AG50" s="71"/>
    </row>
    <row r="51" spans="1:33" ht="110.4" x14ac:dyDescent="0.3">
      <c r="A51" s="148"/>
      <c r="B51" s="149">
        <v>0</v>
      </c>
      <c r="C51" s="148"/>
      <c r="D51" s="149">
        <v>0</v>
      </c>
      <c r="E51" s="75">
        <v>3.613</v>
      </c>
      <c r="F51" s="75">
        <v>0.92899999999999994</v>
      </c>
      <c r="G51" s="74">
        <v>1.254</v>
      </c>
      <c r="H51" s="75">
        <f>1.422+0.5+1.1+0.3</f>
        <v>3.3220000000000001</v>
      </c>
      <c r="I51" s="75">
        <v>1.804</v>
      </c>
      <c r="J51" s="8">
        <v>51010010044</v>
      </c>
      <c r="K51" s="19" t="s">
        <v>192</v>
      </c>
      <c r="L51" s="19" t="s">
        <v>193</v>
      </c>
      <c r="M51" s="3" t="s">
        <v>107</v>
      </c>
      <c r="N51" s="22" t="s">
        <v>374</v>
      </c>
      <c r="O51" s="73" t="s">
        <v>417</v>
      </c>
      <c r="P51" s="22" t="s">
        <v>418</v>
      </c>
      <c r="Q51" s="22" t="s">
        <v>373</v>
      </c>
      <c r="R51" s="22">
        <v>9</v>
      </c>
      <c r="S51" s="21">
        <v>23</v>
      </c>
      <c r="T51" s="22">
        <v>6</v>
      </c>
      <c r="U51" s="21">
        <v>0</v>
      </c>
      <c r="V51" s="21">
        <v>100</v>
      </c>
      <c r="W51" s="21">
        <v>10</v>
      </c>
      <c r="X51" s="21">
        <v>45</v>
      </c>
      <c r="Y51" s="94">
        <v>75</v>
      </c>
      <c r="Z51" s="116">
        <v>100</v>
      </c>
      <c r="AA51" s="87">
        <v>1000000000</v>
      </c>
      <c r="AB51" s="29">
        <v>5000000000</v>
      </c>
      <c r="AC51" s="29">
        <v>4000000000</v>
      </c>
      <c r="AD51" s="21">
        <v>4000000000</v>
      </c>
      <c r="AE51" s="29">
        <f t="shared" si="0"/>
        <v>14000000000</v>
      </c>
      <c r="AF51" s="68" t="s">
        <v>365</v>
      </c>
      <c r="AG51" s="71"/>
    </row>
    <row r="52" spans="1:33" ht="41.4" x14ac:dyDescent="0.3">
      <c r="A52" s="148"/>
      <c r="B52" s="149">
        <v>0</v>
      </c>
      <c r="C52" s="148"/>
      <c r="D52" s="149">
        <v>0</v>
      </c>
      <c r="E52" s="75">
        <v>9.1989999999999998</v>
      </c>
      <c r="F52" s="75">
        <f>3.483+2.322+1.161</f>
        <v>6.9659999999999993</v>
      </c>
      <c r="G52" s="74">
        <f>4.271+2-1.1</f>
        <v>5.1709999999999994</v>
      </c>
      <c r="H52" s="75">
        <v>5.1110000000000007</v>
      </c>
      <c r="I52" s="75">
        <v>5.5</v>
      </c>
      <c r="J52" s="8">
        <v>51010010045</v>
      </c>
      <c r="K52" s="19" t="s">
        <v>194</v>
      </c>
      <c r="L52" s="19" t="s">
        <v>195</v>
      </c>
      <c r="M52" s="3" t="s">
        <v>107</v>
      </c>
      <c r="N52" s="22" t="s">
        <v>375</v>
      </c>
      <c r="O52" s="73" t="s">
        <v>414</v>
      </c>
      <c r="P52" s="22" t="s">
        <v>433</v>
      </c>
      <c r="Q52" s="22" t="s">
        <v>375</v>
      </c>
      <c r="R52" s="22">
        <v>9</v>
      </c>
      <c r="S52" s="21">
        <v>23</v>
      </c>
      <c r="T52" s="22">
        <v>6</v>
      </c>
      <c r="U52" s="21">
        <v>3200</v>
      </c>
      <c r="V52" s="21">
        <v>3700</v>
      </c>
      <c r="W52" s="21">
        <v>3230</v>
      </c>
      <c r="X52" s="21">
        <v>3470</v>
      </c>
      <c r="Y52" s="94">
        <v>3650</v>
      </c>
      <c r="Z52" s="116">
        <v>3700</v>
      </c>
      <c r="AA52" s="87">
        <v>15000000000</v>
      </c>
      <c r="AB52" s="29">
        <v>30000000000</v>
      </c>
      <c r="AC52" s="29">
        <v>20000000000</v>
      </c>
      <c r="AD52" s="21">
        <v>12600000000</v>
      </c>
      <c r="AE52" s="29">
        <f t="shared" si="0"/>
        <v>77600000000</v>
      </c>
      <c r="AF52" s="68" t="s">
        <v>365</v>
      </c>
      <c r="AG52" s="71"/>
    </row>
    <row r="53" spans="1:33" ht="55.2" x14ac:dyDescent="0.3">
      <c r="A53" s="148"/>
      <c r="B53" s="149">
        <v>0</v>
      </c>
      <c r="C53" s="148"/>
      <c r="D53" s="149">
        <v>0</v>
      </c>
      <c r="E53" s="75">
        <v>0</v>
      </c>
      <c r="F53" s="75">
        <f>0.473+1.251</f>
        <v>1.7239999999999998</v>
      </c>
      <c r="G53" s="74">
        <f>0+2.5-1</f>
        <v>1.5</v>
      </c>
      <c r="H53" s="75">
        <v>0</v>
      </c>
      <c r="I53" s="75">
        <v>0.11800000000000001</v>
      </c>
      <c r="J53" s="8">
        <v>51010010046</v>
      </c>
      <c r="K53" s="19" t="s">
        <v>196</v>
      </c>
      <c r="L53" s="19" t="s">
        <v>197</v>
      </c>
      <c r="M53" s="3" t="s">
        <v>107</v>
      </c>
      <c r="N53" s="22" t="s">
        <v>374</v>
      </c>
      <c r="O53" s="73" t="s">
        <v>414</v>
      </c>
      <c r="P53" s="22" t="s">
        <v>434</v>
      </c>
      <c r="Q53" s="22" t="s">
        <v>374</v>
      </c>
      <c r="R53" s="22">
        <v>9</v>
      </c>
      <c r="S53" s="21">
        <v>21</v>
      </c>
      <c r="T53" s="22">
        <v>6</v>
      </c>
      <c r="U53" s="21">
        <v>0</v>
      </c>
      <c r="V53" s="21">
        <v>100</v>
      </c>
      <c r="W53" s="21">
        <v>0</v>
      </c>
      <c r="X53" s="21">
        <v>100</v>
      </c>
      <c r="Y53" s="94">
        <v>100</v>
      </c>
      <c r="Z53" s="116">
        <v>0</v>
      </c>
      <c r="AA53" s="87">
        <v>0</v>
      </c>
      <c r="AB53" s="29">
        <v>2035000000</v>
      </c>
      <c r="AC53" s="29">
        <v>3136270003</v>
      </c>
      <c r="AD53" s="21">
        <v>0</v>
      </c>
      <c r="AE53" s="29">
        <f t="shared" si="0"/>
        <v>5171270003</v>
      </c>
      <c r="AF53" s="68" t="s">
        <v>365</v>
      </c>
      <c r="AG53" s="71"/>
    </row>
    <row r="54" spans="1:33" ht="55.2" x14ac:dyDescent="0.3">
      <c r="A54" s="148"/>
      <c r="B54" s="149">
        <v>0</v>
      </c>
      <c r="C54" s="148"/>
      <c r="D54" s="149">
        <v>0</v>
      </c>
      <c r="E54" s="75">
        <v>0</v>
      </c>
      <c r="F54" s="75">
        <v>1.151</v>
      </c>
      <c r="G54" s="74">
        <v>0</v>
      </c>
      <c r="H54" s="75">
        <v>0</v>
      </c>
      <c r="I54" s="75">
        <v>0.28800000000000003</v>
      </c>
      <c r="J54" s="8">
        <v>51010010047</v>
      </c>
      <c r="K54" s="19" t="s">
        <v>198</v>
      </c>
      <c r="L54" s="19" t="s">
        <v>199</v>
      </c>
      <c r="M54" s="3" t="s">
        <v>107</v>
      </c>
      <c r="N54" s="22" t="s">
        <v>374</v>
      </c>
      <c r="O54" s="73" t="s">
        <v>414</v>
      </c>
      <c r="P54" s="22" t="s">
        <v>435</v>
      </c>
      <c r="Q54" s="22" t="s">
        <v>374</v>
      </c>
      <c r="R54" s="22">
        <v>9</v>
      </c>
      <c r="S54" s="21">
        <v>21</v>
      </c>
      <c r="T54" s="22">
        <v>6</v>
      </c>
      <c r="U54" s="21">
        <v>0</v>
      </c>
      <c r="V54" s="21">
        <v>100</v>
      </c>
      <c r="W54" s="21">
        <v>0</v>
      </c>
      <c r="X54" s="21">
        <v>100</v>
      </c>
      <c r="Y54" s="94">
        <v>0</v>
      </c>
      <c r="Z54" s="116">
        <v>0</v>
      </c>
      <c r="AA54" s="87">
        <v>0</v>
      </c>
      <c r="AB54" s="29">
        <v>650000000</v>
      </c>
      <c r="AC54" s="29">
        <v>0</v>
      </c>
      <c r="AD54" s="21">
        <v>0</v>
      </c>
      <c r="AE54" s="29">
        <f t="shared" si="0"/>
        <v>650000000</v>
      </c>
      <c r="AF54" s="68" t="s">
        <v>365</v>
      </c>
      <c r="AG54" s="71"/>
    </row>
    <row r="55" spans="1:33" ht="82.8" x14ac:dyDescent="0.3">
      <c r="A55" s="148"/>
      <c r="B55" s="149">
        <v>0</v>
      </c>
      <c r="C55" s="148"/>
      <c r="D55" s="149">
        <v>0</v>
      </c>
      <c r="E55" s="75">
        <v>0</v>
      </c>
      <c r="F55" s="75">
        <f>1.012-1.012</f>
        <v>0</v>
      </c>
      <c r="G55" s="74">
        <v>1.016</v>
      </c>
      <c r="H55" s="75">
        <f>2.018+3.651-4-0.5</f>
        <v>1.1689999999999996</v>
      </c>
      <c r="I55" s="75">
        <v>1.0109999999999999</v>
      </c>
      <c r="J55" s="8">
        <v>51010010048</v>
      </c>
      <c r="K55" s="19" t="s">
        <v>200</v>
      </c>
      <c r="L55" s="19" t="s">
        <v>201</v>
      </c>
      <c r="M55" s="3" t="s">
        <v>107</v>
      </c>
      <c r="N55" s="22" t="s">
        <v>373</v>
      </c>
      <c r="O55" s="73" t="s">
        <v>381</v>
      </c>
      <c r="P55" s="22" t="s">
        <v>436</v>
      </c>
      <c r="Q55" s="22" t="s">
        <v>373</v>
      </c>
      <c r="R55" s="22">
        <v>5</v>
      </c>
      <c r="S55" s="21">
        <v>39</v>
      </c>
      <c r="T55" s="22">
        <v>14</v>
      </c>
      <c r="U55" s="21">
        <v>0</v>
      </c>
      <c r="V55" s="21">
        <v>1</v>
      </c>
      <c r="W55" s="21">
        <v>0</v>
      </c>
      <c r="X55" s="22">
        <v>0</v>
      </c>
      <c r="Y55" s="101">
        <v>0.8</v>
      </c>
      <c r="Z55" s="117">
        <v>1</v>
      </c>
      <c r="AA55" s="87">
        <v>0</v>
      </c>
      <c r="AB55" s="29">
        <v>0</v>
      </c>
      <c r="AC55" s="29">
        <v>35676160</v>
      </c>
      <c r="AD55" s="21">
        <v>31816960</v>
      </c>
      <c r="AE55" s="29">
        <f t="shared" si="0"/>
        <v>67493120</v>
      </c>
      <c r="AF55" s="68" t="s">
        <v>354</v>
      </c>
      <c r="AG55" s="71"/>
    </row>
    <row r="56" spans="1:33" ht="41.4" x14ac:dyDescent="0.3">
      <c r="A56" s="148"/>
      <c r="B56" s="149">
        <v>0</v>
      </c>
      <c r="C56" s="148"/>
      <c r="D56" s="149">
        <v>0</v>
      </c>
      <c r="E56" s="75">
        <v>0</v>
      </c>
      <c r="F56" s="75">
        <f>1.251-1.251</f>
        <v>0</v>
      </c>
      <c r="G56" s="74">
        <v>1.135</v>
      </c>
      <c r="H56" s="75">
        <f>0+1.3+0.12</f>
        <v>1.42</v>
      </c>
      <c r="I56" s="75">
        <v>0.59599999999999997</v>
      </c>
      <c r="J56" s="8">
        <v>51010010049</v>
      </c>
      <c r="K56" s="19" t="s">
        <v>202</v>
      </c>
      <c r="L56" s="19" t="s">
        <v>203</v>
      </c>
      <c r="M56" s="3" t="s">
        <v>107</v>
      </c>
      <c r="N56" s="22" t="s">
        <v>373</v>
      </c>
      <c r="O56" s="73" t="s">
        <v>381</v>
      </c>
      <c r="P56" s="22" t="s">
        <v>437</v>
      </c>
      <c r="Q56" s="22" t="s">
        <v>373</v>
      </c>
      <c r="R56" s="22">
        <v>11</v>
      </c>
      <c r="S56" s="21">
        <v>45</v>
      </c>
      <c r="T56" s="22">
        <v>17</v>
      </c>
      <c r="U56" s="21">
        <v>0</v>
      </c>
      <c r="V56" s="21">
        <v>5</v>
      </c>
      <c r="W56" s="21">
        <v>0</v>
      </c>
      <c r="X56" s="21">
        <v>0</v>
      </c>
      <c r="Y56" s="94">
        <v>1</v>
      </c>
      <c r="Z56" s="116">
        <v>5</v>
      </c>
      <c r="AA56" s="87">
        <v>0</v>
      </c>
      <c r="AB56" s="29">
        <v>0</v>
      </c>
      <c r="AC56" s="29">
        <v>1000000000</v>
      </c>
      <c r="AD56" s="21">
        <v>161082000</v>
      </c>
      <c r="AE56" s="29">
        <f t="shared" si="0"/>
        <v>1161082000</v>
      </c>
      <c r="AF56" s="68" t="s">
        <v>363</v>
      </c>
      <c r="AG56" s="71"/>
    </row>
    <row r="57" spans="1:33" ht="41.4" x14ac:dyDescent="0.3">
      <c r="A57" s="148"/>
      <c r="B57" s="149">
        <v>0</v>
      </c>
      <c r="C57" s="148"/>
      <c r="D57" s="149">
        <v>0</v>
      </c>
      <c r="E57" s="75">
        <v>0</v>
      </c>
      <c r="F57" s="75">
        <f>1.225+1.012-1.012</f>
        <v>1.2250000000000001</v>
      </c>
      <c r="G57" s="74">
        <v>1.2</v>
      </c>
      <c r="H57" s="75">
        <v>1.1820000000000002</v>
      </c>
      <c r="I57" s="75">
        <v>0.90200000000000002</v>
      </c>
      <c r="J57" s="8">
        <v>51010010050</v>
      </c>
      <c r="K57" s="19" t="s">
        <v>204</v>
      </c>
      <c r="L57" s="19" t="s">
        <v>205</v>
      </c>
      <c r="M57" s="3" t="s">
        <v>107</v>
      </c>
      <c r="N57" s="22" t="s">
        <v>373</v>
      </c>
      <c r="O57" s="73" t="s">
        <v>381</v>
      </c>
      <c r="P57" s="22" t="s">
        <v>438</v>
      </c>
      <c r="Q57" s="22" t="s">
        <v>373</v>
      </c>
      <c r="R57" s="22">
        <v>17</v>
      </c>
      <c r="S57" s="21">
        <v>23</v>
      </c>
      <c r="T57" s="22">
        <v>17</v>
      </c>
      <c r="U57" s="21">
        <v>1</v>
      </c>
      <c r="V57" s="21">
        <v>13</v>
      </c>
      <c r="W57" s="21">
        <v>0</v>
      </c>
      <c r="X57" s="22">
        <v>4</v>
      </c>
      <c r="Y57" s="101">
        <v>10</v>
      </c>
      <c r="Z57" s="117">
        <v>13</v>
      </c>
      <c r="AA57" s="87">
        <v>0</v>
      </c>
      <c r="AB57" s="29">
        <v>152908752</v>
      </c>
      <c r="AC57" s="29">
        <v>108301440</v>
      </c>
      <c r="AD57" s="21">
        <v>64769180</v>
      </c>
      <c r="AE57" s="29">
        <f t="shared" si="0"/>
        <v>325979372</v>
      </c>
      <c r="AF57" s="68" t="s">
        <v>354</v>
      </c>
      <c r="AG57" s="71"/>
    </row>
    <row r="58" spans="1:33" x14ac:dyDescent="0.3">
      <c r="A58" s="24"/>
      <c r="B58" s="25"/>
      <c r="C58" s="24"/>
      <c r="D58" s="25"/>
      <c r="E58" s="35"/>
      <c r="F58" s="35"/>
      <c r="G58" s="35"/>
      <c r="H58" s="35"/>
      <c r="I58" s="35"/>
      <c r="J58" s="27"/>
      <c r="K58" s="28"/>
      <c r="L58" s="28"/>
      <c r="M58" s="32"/>
      <c r="N58" s="41"/>
      <c r="O58" s="24"/>
      <c r="P58" s="41"/>
      <c r="Q58" s="41"/>
      <c r="R58" s="41"/>
      <c r="S58" s="52"/>
      <c r="T58" s="41"/>
      <c r="U58" s="52"/>
      <c r="V58" s="52"/>
      <c r="W58" s="52"/>
      <c r="X58" s="41"/>
      <c r="Y58" s="41"/>
      <c r="Z58" s="107"/>
      <c r="AA58" s="53"/>
      <c r="AB58" s="53"/>
      <c r="AC58" s="53"/>
      <c r="AD58" s="52"/>
      <c r="AE58" s="53"/>
      <c r="AF58" s="69"/>
      <c r="AG58" s="71"/>
    </row>
    <row r="59" spans="1:33" ht="82.8" x14ac:dyDescent="0.3">
      <c r="A59" s="148" t="s">
        <v>342</v>
      </c>
      <c r="B59" s="149">
        <v>15.875</v>
      </c>
      <c r="C59" s="148" t="s">
        <v>343</v>
      </c>
      <c r="D59" s="150">
        <v>55.989999999999995</v>
      </c>
      <c r="E59" s="75">
        <v>0</v>
      </c>
      <c r="F59" s="75">
        <f>15.808-5</f>
        <v>10.808</v>
      </c>
      <c r="G59" s="74">
        <f>31.41-6</f>
        <v>25.41</v>
      </c>
      <c r="H59" s="75">
        <f>38.295-7</f>
        <v>31.295000000000002</v>
      </c>
      <c r="I59" s="75">
        <v>21.378</v>
      </c>
      <c r="J59" s="8">
        <v>51020010001</v>
      </c>
      <c r="K59" s="19" t="s">
        <v>206</v>
      </c>
      <c r="L59" s="19" t="s">
        <v>207</v>
      </c>
      <c r="M59" s="3" t="s">
        <v>144</v>
      </c>
      <c r="N59" s="22" t="s">
        <v>373</v>
      </c>
      <c r="O59" s="73" t="s">
        <v>381</v>
      </c>
      <c r="P59" s="22" t="s">
        <v>439</v>
      </c>
      <c r="Q59" s="22" t="s">
        <v>373</v>
      </c>
      <c r="R59" s="22">
        <v>11</v>
      </c>
      <c r="S59" s="21">
        <v>33</v>
      </c>
      <c r="T59" s="22">
        <v>5</v>
      </c>
      <c r="U59" s="21">
        <v>0</v>
      </c>
      <c r="V59" s="21">
        <v>1</v>
      </c>
      <c r="W59" s="21">
        <v>0</v>
      </c>
      <c r="X59" s="21">
        <v>1</v>
      </c>
      <c r="Y59" s="94">
        <v>1</v>
      </c>
      <c r="Z59" s="116">
        <v>1</v>
      </c>
      <c r="AA59" s="87">
        <v>0</v>
      </c>
      <c r="AB59" s="29">
        <v>25000000</v>
      </c>
      <c r="AC59" s="29">
        <v>30000000000</v>
      </c>
      <c r="AD59" s="53">
        <v>170000000</v>
      </c>
      <c r="AE59" s="29">
        <f t="shared" si="0"/>
        <v>30195000000</v>
      </c>
      <c r="AF59" s="68" t="s">
        <v>355</v>
      </c>
      <c r="AG59" s="71"/>
    </row>
    <row r="60" spans="1:33" ht="96.6" x14ac:dyDescent="0.3">
      <c r="A60" s="148"/>
      <c r="B60" s="149">
        <v>0</v>
      </c>
      <c r="C60" s="148"/>
      <c r="D60" s="150">
        <v>0</v>
      </c>
      <c r="E60" s="75">
        <v>0</v>
      </c>
      <c r="F60" s="75">
        <f>38.678-5</f>
        <v>33.677999999999997</v>
      </c>
      <c r="G60" s="74">
        <f>14.517+1.52-7.5+6</f>
        <v>14.536999999999999</v>
      </c>
      <c r="H60" s="75">
        <f>10.304+1.539-1.535</f>
        <v>10.308</v>
      </c>
      <c r="I60" s="75">
        <v>15.875</v>
      </c>
      <c r="J60" s="8">
        <v>51020010002</v>
      </c>
      <c r="K60" s="19" t="s">
        <v>208</v>
      </c>
      <c r="L60" s="19" t="s">
        <v>209</v>
      </c>
      <c r="M60" s="3" t="s">
        <v>144</v>
      </c>
      <c r="N60" s="22" t="s">
        <v>373</v>
      </c>
      <c r="O60" s="73" t="s">
        <v>381</v>
      </c>
      <c r="P60" s="22" t="s">
        <v>440</v>
      </c>
      <c r="Q60" s="22" t="s">
        <v>373</v>
      </c>
      <c r="R60" s="22">
        <v>9</v>
      </c>
      <c r="S60" s="21">
        <v>33</v>
      </c>
      <c r="T60" s="22">
        <v>13</v>
      </c>
      <c r="U60" s="21">
        <v>1</v>
      </c>
      <c r="V60" s="21">
        <v>4</v>
      </c>
      <c r="W60" s="21">
        <v>0</v>
      </c>
      <c r="X60" s="21">
        <v>4</v>
      </c>
      <c r="Y60" s="94">
        <v>4</v>
      </c>
      <c r="Z60" s="116">
        <v>4</v>
      </c>
      <c r="AA60" s="87">
        <v>0</v>
      </c>
      <c r="AB60" s="29">
        <v>4600000000</v>
      </c>
      <c r="AC60" s="29">
        <v>10284167820</v>
      </c>
      <c r="AD60" s="29">
        <v>109090000</v>
      </c>
      <c r="AE60" s="29">
        <f t="shared" si="0"/>
        <v>14993257820</v>
      </c>
      <c r="AF60" s="68" t="s">
        <v>364</v>
      </c>
      <c r="AG60" s="71"/>
    </row>
    <row r="61" spans="1:33" ht="69" x14ac:dyDescent="0.3">
      <c r="A61" s="148"/>
      <c r="B61" s="149">
        <v>0</v>
      </c>
      <c r="C61" s="148"/>
      <c r="D61" s="150">
        <v>0</v>
      </c>
      <c r="E61" s="75">
        <v>0</v>
      </c>
      <c r="F61" s="75">
        <f>7.64+5</f>
        <v>12.64</v>
      </c>
      <c r="G61" s="74">
        <f>6.52-1.52-1.5-1.5-1-1</f>
        <v>0</v>
      </c>
      <c r="H61" s="75">
        <f>6.539-1.539-1-1.5-1-1.5+1.535+7</f>
        <v>8.5350000000000001</v>
      </c>
      <c r="I61" s="75">
        <v>5.1749999999999998</v>
      </c>
      <c r="J61" s="8">
        <v>51020010003</v>
      </c>
      <c r="K61" s="19" t="s">
        <v>210</v>
      </c>
      <c r="L61" s="19" t="s">
        <v>211</v>
      </c>
      <c r="M61" s="3" t="s">
        <v>107</v>
      </c>
      <c r="N61" s="22" t="s">
        <v>373</v>
      </c>
      <c r="O61" s="73" t="s">
        <v>441</v>
      </c>
      <c r="P61" s="22" t="s">
        <v>442</v>
      </c>
      <c r="Q61" s="22" t="s">
        <v>373</v>
      </c>
      <c r="R61" s="22">
        <v>9</v>
      </c>
      <c r="S61" s="21">
        <v>35</v>
      </c>
      <c r="T61" s="22">
        <v>13</v>
      </c>
      <c r="U61" s="21">
        <v>61</v>
      </c>
      <c r="V61" s="21">
        <v>211</v>
      </c>
      <c r="W61" s="21">
        <v>0</v>
      </c>
      <c r="X61" s="21">
        <v>211</v>
      </c>
      <c r="Y61" s="94">
        <v>0</v>
      </c>
      <c r="Z61" s="116">
        <v>211</v>
      </c>
      <c r="AA61" s="87">
        <v>0</v>
      </c>
      <c r="AB61" s="29">
        <v>1430000000</v>
      </c>
      <c r="AC61" s="29">
        <v>0</v>
      </c>
      <c r="AD61" s="29">
        <v>79055000</v>
      </c>
      <c r="AE61" s="29">
        <f t="shared" si="0"/>
        <v>1509055000</v>
      </c>
      <c r="AF61" s="68" t="s">
        <v>364</v>
      </c>
      <c r="AG61" s="71"/>
    </row>
    <row r="62" spans="1:33" ht="55.2" x14ac:dyDescent="0.3">
      <c r="A62" s="148"/>
      <c r="B62" s="149">
        <v>0</v>
      </c>
      <c r="C62" s="148"/>
      <c r="D62" s="150">
        <v>0</v>
      </c>
      <c r="E62" s="75">
        <v>0</v>
      </c>
      <c r="F62" s="75">
        <v>5.5469999999999997</v>
      </c>
      <c r="G62" s="74">
        <v>5.1929999999999996</v>
      </c>
      <c r="H62" s="75">
        <v>5.8709999999999996</v>
      </c>
      <c r="I62" s="75">
        <v>4.1529999999999996</v>
      </c>
      <c r="J62" s="8">
        <v>51020010004</v>
      </c>
      <c r="K62" s="19" t="s">
        <v>212</v>
      </c>
      <c r="L62" s="19" t="s">
        <v>213</v>
      </c>
      <c r="M62" s="3" t="s">
        <v>144</v>
      </c>
      <c r="N62" s="22" t="s">
        <v>373</v>
      </c>
      <c r="O62" s="73" t="s">
        <v>381</v>
      </c>
      <c r="P62" s="22" t="s">
        <v>443</v>
      </c>
      <c r="Q62" s="22" t="s">
        <v>373</v>
      </c>
      <c r="R62" s="22">
        <v>9</v>
      </c>
      <c r="S62" s="21">
        <v>35</v>
      </c>
      <c r="T62" s="22">
        <v>5</v>
      </c>
      <c r="U62" s="21">
        <v>1</v>
      </c>
      <c r="V62" s="21">
        <v>5</v>
      </c>
      <c r="W62" s="21">
        <v>0</v>
      </c>
      <c r="X62" s="21">
        <v>5</v>
      </c>
      <c r="Y62" s="94">
        <v>5</v>
      </c>
      <c r="Z62" s="116">
        <v>5</v>
      </c>
      <c r="AA62" s="87">
        <v>0</v>
      </c>
      <c r="AB62" s="29">
        <v>300000000</v>
      </c>
      <c r="AC62" s="29">
        <v>550000000</v>
      </c>
      <c r="AD62" s="29">
        <v>200000000</v>
      </c>
      <c r="AE62" s="29">
        <f t="shared" si="0"/>
        <v>1050000000</v>
      </c>
      <c r="AF62" s="68" t="s">
        <v>364</v>
      </c>
      <c r="AG62" s="71"/>
    </row>
    <row r="63" spans="1:33" ht="96.6" x14ac:dyDescent="0.3">
      <c r="A63" s="148"/>
      <c r="B63" s="149">
        <v>0</v>
      </c>
      <c r="C63" s="148"/>
      <c r="D63" s="150">
        <v>0</v>
      </c>
      <c r="E63" s="75">
        <v>100</v>
      </c>
      <c r="F63" s="75">
        <f>9.708+5</f>
        <v>14.708</v>
      </c>
      <c r="G63" s="74">
        <f>10.46-3</f>
        <v>7.4600000000000009</v>
      </c>
      <c r="H63" s="75">
        <v>9.8059999999999992</v>
      </c>
      <c r="I63" s="75">
        <v>32.493000000000002</v>
      </c>
      <c r="J63" s="8">
        <v>51020010005</v>
      </c>
      <c r="K63" s="19" t="s">
        <v>214</v>
      </c>
      <c r="L63" s="19" t="s">
        <v>215</v>
      </c>
      <c r="M63" s="3" t="s">
        <v>107</v>
      </c>
      <c r="N63" s="22" t="s">
        <v>373</v>
      </c>
      <c r="O63" s="73" t="s">
        <v>381</v>
      </c>
      <c r="P63" s="22" t="s">
        <v>444</v>
      </c>
      <c r="Q63" s="22" t="s">
        <v>373</v>
      </c>
      <c r="R63" s="22">
        <v>9</v>
      </c>
      <c r="S63" s="21">
        <v>33</v>
      </c>
      <c r="T63" s="22">
        <v>5</v>
      </c>
      <c r="U63" s="21">
        <v>16</v>
      </c>
      <c r="V63" s="21">
        <v>186</v>
      </c>
      <c r="W63" s="21">
        <v>180</v>
      </c>
      <c r="X63" s="21">
        <v>174</v>
      </c>
      <c r="Y63" s="94">
        <v>178</v>
      </c>
      <c r="Z63" s="116">
        <v>186</v>
      </c>
      <c r="AA63" s="87">
        <v>4341482477</v>
      </c>
      <c r="AB63" s="29">
        <v>1020680000</v>
      </c>
      <c r="AC63" s="29">
        <v>802423000</v>
      </c>
      <c r="AD63" s="29">
        <v>575167584</v>
      </c>
      <c r="AE63" s="29">
        <f t="shared" si="0"/>
        <v>6739753061</v>
      </c>
      <c r="AF63" s="68" t="s">
        <v>355</v>
      </c>
      <c r="AG63" s="71"/>
    </row>
    <row r="64" spans="1:33" ht="41.4" x14ac:dyDescent="0.3">
      <c r="A64" s="148"/>
      <c r="B64" s="149">
        <v>0</v>
      </c>
      <c r="C64" s="148"/>
      <c r="D64" s="150">
        <v>0</v>
      </c>
      <c r="E64" s="75">
        <v>0</v>
      </c>
      <c r="F64" s="75">
        <v>4.859</v>
      </c>
      <c r="G64" s="74">
        <f>5.845+1-6.845</f>
        <v>0</v>
      </c>
      <c r="H64" s="75">
        <f>6.33+1</f>
        <v>7.33</v>
      </c>
      <c r="I64" s="75">
        <v>4.2590000000000003</v>
      </c>
      <c r="J64" s="8">
        <v>51020010006</v>
      </c>
      <c r="K64" s="19" t="s">
        <v>1758</v>
      </c>
      <c r="L64" s="19" t="s">
        <v>216</v>
      </c>
      <c r="M64" s="3" t="s">
        <v>107</v>
      </c>
      <c r="N64" s="22" t="s">
        <v>373</v>
      </c>
      <c r="O64" s="73" t="s">
        <v>381</v>
      </c>
      <c r="P64" s="22" t="s">
        <v>445</v>
      </c>
      <c r="Q64" s="22" t="s">
        <v>373</v>
      </c>
      <c r="R64" s="22">
        <v>9</v>
      </c>
      <c r="S64" s="21">
        <v>33</v>
      </c>
      <c r="T64" s="22">
        <v>5</v>
      </c>
      <c r="U64" s="21">
        <v>0</v>
      </c>
      <c r="V64" s="21">
        <v>30</v>
      </c>
      <c r="W64" s="21">
        <v>0</v>
      </c>
      <c r="X64" s="21">
        <v>10</v>
      </c>
      <c r="Y64" s="94">
        <v>0</v>
      </c>
      <c r="Z64" s="116">
        <v>30</v>
      </c>
      <c r="AA64" s="87">
        <v>0</v>
      </c>
      <c r="AB64" s="29">
        <v>170000000</v>
      </c>
      <c r="AC64" s="29">
        <v>0</v>
      </c>
      <c r="AD64" s="29">
        <v>101440000</v>
      </c>
      <c r="AE64" s="29">
        <f t="shared" si="0"/>
        <v>271440000</v>
      </c>
      <c r="AF64" s="68" t="s">
        <v>364</v>
      </c>
      <c r="AG64" s="71"/>
    </row>
    <row r="65" spans="1:33" ht="69" x14ac:dyDescent="0.3">
      <c r="A65" s="148"/>
      <c r="B65" s="149">
        <v>0</v>
      </c>
      <c r="C65" s="148"/>
      <c r="D65" s="150">
        <v>0</v>
      </c>
      <c r="E65" s="75">
        <v>0</v>
      </c>
      <c r="F65" s="75">
        <v>6.6320000000000006</v>
      </c>
      <c r="G65" s="74">
        <f>7.814+1.5+6.845+8+3+7.5</f>
        <v>34.658999999999999</v>
      </c>
      <c r="H65" s="75">
        <f>7.471+1.5</f>
        <v>8.9710000000000001</v>
      </c>
      <c r="I65" s="75">
        <v>5.4790000000000001</v>
      </c>
      <c r="J65" s="8">
        <v>51020010007</v>
      </c>
      <c r="K65" s="19" t="s">
        <v>217</v>
      </c>
      <c r="L65" s="19" t="s">
        <v>218</v>
      </c>
      <c r="M65" s="3" t="s">
        <v>107</v>
      </c>
      <c r="N65" s="22" t="s">
        <v>373</v>
      </c>
      <c r="O65" s="73" t="s">
        <v>381</v>
      </c>
      <c r="P65" s="22" t="s">
        <v>446</v>
      </c>
      <c r="Q65" s="22" t="s">
        <v>373</v>
      </c>
      <c r="R65" s="22">
        <v>9</v>
      </c>
      <c r="S65" s="21">
        <v>39</v>
      </c>
      <c r="T65" s="22">
        <v>13</v>
      </c>
      <c r="U65" s="21">
        <v>0</v>
      </c>
      <c r="V65" s="21">
        <v>2</v>
      </c>
      <c r="W65" s="21">
        <v>0</v>
      </c>
      <c r="X65" s="21">
        <v>1</v>
      </c>
      <c r="Y65" s="94">
        <v>2</v>
      </c>
      <c r="Z65" s="116">
        <v>2</v>
      </c>
      <c r="AA65" s="87">
        <v>0</v>
      </c>
      <c r="AB65" s="29">
        <v>300000000</v>
      </c>
      <c r="AC65" s="29">
        <v>60400000000</v>
      </c>
      <c r="AD65" s="29">
        <v>60199782000</v>
      </c>
      <c r="AE65" s="29">
        <f t="shared" si="0"/>
        <v>120899782000</v>
      </c>
      <c r="AF65" s="68" t="s">
        <v>364</v>
      </c>
      <c r="AG65" s="71"/>
    </row>
    <row r="66" spans="1:33" ht="69" x14ac:dyDescent="0.3">
      <c r="A66" s="148"/>
      <c r="B66" s="149">
        <v>0</v>
      </c>
      <c r="C66" s="148"/>
      <c r="D66" s="150">
        <v>0</v>
      </c>
      <c r="E66" s="75">
        <v>0</v>
      </c>
      <c r="F66" s="75">
        <v>4.782</v>
      </c>
      <c r="G66" s="74">
        <f>6.686+1</f>
        <v>7.6859999999999999</v>
      </c>
      <c r="H66" s="75">
        <f>6.937+1</f>
        <v>7.9370000000000003</v>
      </c>
      <c r="I66" s="75">
        <v>4.601</v>
      </c>
      <c r="J66" s="8">
        <v>51020010008</v>
      </c>
      <c r="K66" s="19" t="s">
        <v>219</v>
      </c>
      <c r="L66" s="19" t="s">
        <v>220</v>
      </c>
      <c r="M66" s="3" t="s">
        <v>107</v>
      </c>
      <c r="N66" s="22" t="s">
        <v>373</v>
      </c>
      <c r="O66" s="73" t="s">
        <v>419</v>
      </c>
      <c r="P66" s="22" t="s">
        <v>447</v>
      </c>
      <c r="Q66" s="22" t="s">
        <v>373</v>
      </c>
      <c r="R66" s="22">
        <v>9</v>
      </c>
      <c r="S66" s="21">
        <v>35</v>
      </c>
      <c r="T66" s="22">
        <v>5</v>
      </c>
      <c r="U66" s="21">
        <v>0</v>
      </c>
      <c r="V66" s="21">
        <v>1200</v>
      </c>
      <c r="W66" s="21">
        <v>0</v>
      </c>
      <c r="X66" s="21">
        <v>190</v>
      </c>
      <c r="Y66" s="94">
        <v>530</v>
      </c>
      <c r="Z66" s="116">
        <v>1200</v>
      </c>
      <c r="AA66" s="87">
        <v>0</v>
      </c>
      <c r="AB66" s="29">
        <v>380000000</v>
      </c>
      <c r="AC66" s="29">
        <v>902492880</v>
      </c>
      <c r="AD66" s="29">
        <v>808907479</v>
      </c>
      <c r="AE66" s="29">
        <f t="shared" si="0"/>
        <v>2091400359</v>
      </c>
      <c r="AF66" s="68" t="s">
        <v>364</v>
      </c>
      <c r="AG66" s="71"/>
    </row>
    <row r="67" spans="1:33" ht="55.2" x14ac:dyDescent="0.3">
      <c r="A67" s="148"/>
      <c r="B67" s="149">
        <v>0</v>
      </c>
      <c r="C67" s="148"/>
      <c r="D67" s="150">
        <v>0</v>
      </c>
      <c r="E67" s="75">
        <v>0</v>
      </c>
      <c r="F67" s="75">
        <v>6.3460000000000001</v>
      </c>
      <c r="G67" s="74">
        <f>11.555+1.5-8</f>
        <v>5.0549999999999997</v>
      </c>
      <c r="H67" s="75">
        <f>8.447+1.5</f>
        <v>9.9469999999999992</v>
      </c>
      <c r="I67" s="75">
        <v>6.5869999999999997</v>
      </c>
      <c r="J67" s="8">
        <v>51020010009</v>
      </c>
      <c r="K67" s="19" t="s">
        <v>221</v>
      </c>
      <c r="L67" s="19" t="s">
        <v>222</v>
      </c>
      <c r="M67" s="3" t="s">
        <v>107</v>
      </c>
      <c r="N67" s="22" t="s">
        <v>373</v>
      </c>
      <c r="O67" s="73" t="s">
        <v>419</v>
      </c>
      <c r="P67" s="22" t="s">
        <v>448</v>
      </c>
      <c r="Q67" s="22" t="s">
        <v>373</v>
      </c>
      <c r="R67" s="22">
        <v>9</v>
      </c>
      <c r="S67" s="21">
        <v>33</v>
      </c>
      <c r="T67" s="22">
        <v>13</v>
      </c>
      <c r="U67" s="21">
        <v>0</v>
      </c>
      <c r="V67" s="21">
        <v>8</v>
      </c>
      <c r="W67" s="21">
        <v>0</v>
      </c>
      <c r="X67" s="21">
        <v>2</v>
      </c>
      <c r="Y67" s="94">
        <v>5</v>
      </c>
      <c r="Z67" s="116">
        <v>8</v>
      </c>
      <c r="AA67" s="87">
        <v>0</v>
      </c>
      <c r="AB67" s="29">
        <v>300000000</v>
      </c>
      <c r="AC67" s="29">
        <v>500000000</v>
      </c>
      <c r="AD67" s="29">
        <v>105270000</v>
      </c>
      <c r="AE67" s="29">
        <f t="shared" si="0"/>
        <v>905270000</v>
      </c>
      <c r="AF67" s="68" t="s">
        <v>364</v>
      </c>
      <c r="AG67" s="71"/>
    </row>
    <row r="68" spans="1:33" ht="25.5" customHeight="1" x14ac:dyDescent="0.3">
      <c r="A68" s="148"/>
      <c r="B68" s="149">
        <v>0</v>
      </c>
      <c r="C68" s="148" t="s">
        <v>344</v>
      </c>
      <c r="D68" s="150">
        <v>44.01</v>
      </c>
      <c r="E68" s="75">
        <v>0</v>
      </c>
      <c r="F68" s="75">
        <f>19.068+13.413+10+6.06</f>
        <v>48.541000000000004</v>
      </c>
      <c r="G68" s="74">
        <f>19.068</f>
        <v>19.068000000000001</v>
      </c>
      <c r="H68" s="75">
        <f>19.068-10-9.068</f>
        <v>0</v>
      </c>
      <c r="I68" s="75">
        <v>14.301</v>
      </c>
      <c r="J68" s="8">
        <v>51020020001</v>
      </c>
      <c r="K68" s="19" t="s">
        <v>223</v>
      </c>
      <c r="L68" s="19" t="s">
        <v>224</v>
      </c>
      <c r="M68" s="3" t="s">
        <v>107</v>
      </c>
      <c r="N68" s="22" t="s">
        <v>373</v>
      </c>
      <c r="O68" s="73" t="s">
        <v>381</v>
      </c>
      <c r="P68" s="22" t="s">
        <v>449</v>
      </c>
      <c r="Q68" s="22" t="s">
        <v>373</v>
      </c>
      <c r="R68" s="22">
        <v>9</v>
      </c>
      <c r="S68" s="21">
        <v>35</v>
      </c>
      <c r="T68" s="22">
        <v>13</v>
      </c>
      <c r="U68" s="21">
        <v>0</v>
      </c>
      <c r="V68" s="21">
        <v>12</v>
      </c>
      <c r="W68" s="21">
        <v>0</v>
      </c>
      <c r="X68" s="21">
        <v>1</v>
      </c>
      <c r="Y68" s="94">
        <v>8</v>
      </c>
      <c r="Z68" s="116">
        <v>0</v>
      </c>
      <c r="AA68" s="87">
        <v>0</v>
      </c>
      <c r="AB68" s="29">
        <v>300000000</v>
      </c>
      <c r="AC68" s="29">
        <v>175000000</v>
      </c>
      <c r="AD68" s="29">
        <v>0</v>
      </c>
      <c r="AE68" s="29">
        <f t="shared" si="0"/>
        <v>475000000</v>
      </c>
      <c r="AF68" s="68" t="s">
        <v>364</v>
      </c>
      <c r="AG68" s="71"/>
    </row>
    <row r="69" spans="1:33" ht="69" x14ac:dyDescent="0.3">
      <c r="A69" s="148"/>
      <c r="B69" s="149">
        <v>0</v>
      </c>
      <c r="C69" s="148"/>
      <c r="D69" s="150">
        <v>0</v>
      </c>
      <c r="E69" s="75">
        <v>43.756</v>
      </c>
      <c r="F69" s="75">
        <f>14.12+30.339+7</f>
        <v>51.458999999999996</v>
      </c>
      <c r="G69" s="74">
        <f>14.12+26.339</f>
        <v>40.458999999999996</v>
      </c>
      <c r="H69" s="75">
        <f>14.12+40.339+10</f>
        <v>64.459000000000003</v>
      </c>
      <c r="I69" s="75">
        <v>21.529</v>
      </c>
      <c r="J69" s="8">
        <v>51020020002</v>
      </c>
      <c r="K69" s="19" t="s">
        <v>225</v>
      </c>
      <c r="L69" s="19" t="s">
        <v>226</v>
      </c>
      <c r="M69" s="3" t="s">
        <v>107</v>
      </c>
      <c r="N69" s="22" t="s">
        <v>373</v>
      </c>
      <c r="O69" s="73" t="s">
        <v>381</v>
      </c>
      <c r="P69" s="22" t="s">
        <v>450</v>
      </c>
      <c r="Q69" s="22" t="s">
        <v>373</v>
      </c>
      <c r="R69" s="22">
        <v>9</v>
      </c>
      <c r="S69" s="21">
        <v>35</v>
      </c>
      <c r="T69" s="22">
        <v>13</v>
      </c>
      <c r="U69" s="21">
        <v>0</v>
      </c>
      <c r="V69" s="21">
        <v>200</v>
      </c>
      <c r="W69" s="21">
        <v>50</v>
      </c>
      <c r="X69" s="21">
        <v>57</v>
      </c>
      <c r="Y69" s="94">
        <v>107</v>
      </c>
      <c r="Z69" s="116">
        <v>200</v>
      </c>
      <c r="AA69" s="87">
        <v>606579832</v>
      </c>
      <c r="AB69" s="29">
        <v>550000000</v>
      </c>
      <c r="AC69" s="29">
        <v>500000000</v>
      </c>
      <c r="AD69" s="21">
        <v>145360000</v>
      </c>
      <c r="AE69" s="29">
        <f t="shared" si="0"/>
        <v>1801939832</v>
      </c>
      <c r="AF69" s="68" t="s">
        <v>364</v>
      </c>
      <c r="AG69" s="71"/>
    </row>
    <row r="70" spans="1:33" ht="41.4" x14ac:dyDescent="0.3">
      <c r="A70" s="148"/>
      <c r="B70" s="149">
        <v>0</v>
      </c>
      <c r="C70" s="148"/>
      <c r="D70" s="150">
        <v>0</v>
      </c>
      <c r="E70" s="75">
        <v>0</v>
      </c>
      <c r="F70" s="75">
        <f>13.06-7-6.06</f>
        <v>0</v>
      </c>
      <c r="G70" s="74">
        <v>13.059999999999999</v>
      </c>
      <c r="H70" s="75">
        <f>13.06-13.06</f>
        <v>0</v>
      </c>
      <c r="I70" s="75">
        <v>9.7949999999999999</v>
      </c>
      <c r="J70" s="8">
        <v>51020020003</v>
      </c>
      <c r="K70" s="19" t="s">
        <v>227</v>
      </c>
      <c r="L70" s="19" t="s">
        <v>228</v>
      </c>
      <c r="M70" s="3" t="s">
        <v>144</v>
      </c>
      <c r="N70" s="22" t="s">
        <v>373</v>
      </c>
      <c r="O70" s="73" t="s">
        <v>381</v>
      </c>
      <c r="P70" s="22" t="s">
        <v>451</v>
      </c>
      <c r="Q70" s="22" t="s">
        <v>373</v>
      </c>
      <c r="R70" s="22">
        <v>9</v>
      </c>
      <c r="S70" s="21">
        <v>35</v>
      </c>
      <c r="T70" s="22">
        <v>13</v>
      </c>
      <c r="U70" s="21">
        <v>10</v>
      </c>
      <c r="V70" s="21">
        <v>10</v>
      </c>
      <c r="W70" s="21">
        <v>0</v>
      </c>
      <c r="X70" s="21">
        <v>0</v>
      </c>
      <c r="Y70" s="94">
        <v>10</v>
      </c>
      <c r="Z70" s="116">
        <v>0</v>
      </c>
      <c r="AA70" s="87">
        <v>0</v>
      </c>
      <c r="AB70" s="29">
        <v>0</v>
      </c>
      <c r="AC70" s="29">
        <v>100000000</v>
      </c>
      <c r="AD70" s="29">
        <v>0</v>
      </c>
      <c r="AE70" s="29">
        <f t="shared" si="0"/>
        <v>100000000</v>
      </c>
      <c r="AF70" s="68" t="s">
        <v>364</v>
      </c>
      <c r="AG70" s="71"/>
    </row>
    <row r="71" spans="1:33" ht="41.4" x14ac:dyDescent="0.3">
      <c r="A71" s="148"/>
      <c r="B71" s="149">
        <v>0</v>
      </c>
      <c r="C71" s="148"/>
      <c r="D71" s="150">
        <v>0</v>
      </c>
      <c r="E71" s="75">
        <v>0</v>
      </c>
      <c r="F71" s="75">
        <f>13.413-13.413</f>
        <v>0</v>
      </c>
      <c r="G71" s="74">
        <f>13.413+14</f>
        <v>27.413</v>
      </c>
      <c r="H71" s="75">
        <f>13.413+9.068+13.06</f>
        <v>35.541000000000004</v>
      </c>
      <c r="I71" s="75">
        <v>10.059999999999999</v>
      </c>
      <c r="J71" s="8">
        <v>51020020004</v>
      </c>
      <c r="K71" s="19" t="s">
        <v>229</v>
      </c>
      <c r="L71" s="19" t="s">
        <v>230</v>
      </c>
      <c r="M71" s="3" t="s">
        <v>107</v>
      </c>
      <c r="N71" s="22" t="s">
        <v>373</v>
      </c>
      <c r="O71" s="73" t="s">
        <v>381</v>
      </c>
      <c r="P71" s="22" t="s">
        <v>452</v>
      </c>
      <c r="Q71" s="22" t="s">
        <v>373</v>
      </c>
      <c r="R71" s="22">
        <v>9</v>
      </c>
      <c r="S71" s="21">
        <v>39</v>
      </c>
      <c r="T71" s="22">
        <v>13</v>
      </c>
      <c r="U71" s="21">
        <v>0</v>
      </c>
      <c r="V71" s="21">
        <v>50</v>
      </c>
      <c r="W71" s="21">
        <v>0</v>
      </c>
      <c r="X71" s="21">
        <v>0</v>
      </c>
      <c r="Y71" s="94">
        <v>25</v>
      </c>
      <c r="Z71" s="116">
        <v>50</v>
      </c>
      <c r="AA71" s="87">
        <v>0</v>
      </c>
      <c r="AB71" s="29">
        <v>0</v>
      </c>
      <c r="AC71" s="29">
        <v>200000000</v>
      </c>
      <c r="AD71" s="29">
        <v>91440000</v>
      </c>
      <c r="AE71" s="29">
        <f t="shared" si="0"/>
        <v>291440000</v>
      </c>
      <c r="AF71" s="68" t="s">
        <v>364</v>
      </c>
      <c r="AG71" s="71"/>
    </row>
    <row r="72" spans="1:33" ht="55.2" x14ac:dyDescent="0.3">
      <c r="A72" s="148"/>
      <c r="B72" s="149">
        <v>0</v>
      </c>
      <c r="C72" s="148"/>
      <c r="D72" s="150">
        <v>0</v>
      </c>
      <c r="E72" s="75">
        <v>56.244000000000007</v>
      </c>
      <c r="F72" s="75">
        <f>40.339-10-30.339</f>
        <v>0</v>
      </c>
      <c r="G72" s="74">
        <f>40.339-14-26.339</f>
        <v>0</v>
      </c>
      <c r="H72" s="75">
        <f>40.339-40.339</f>
        <v>0</v>
      </c>
      <c r="I72" s="75">
        <v>44.314999999999998</v>
      </c>
      <c r="J72" s="8">
        <v>51020020005</v>
      </c>
      <c r="K72" s="19" t="s">
        <v>231</v>
      </c>
      <c r="L72" s="19" t="s">
        <v>232</v>
      </c>
      <c r="M72" s="3" t="s">
        <v>144</v>
      </c>
      <c r="N72" s="22" t="s">
        <v>373</v>
      </c>
      <c r="O72" s="73" t="s">
        <v>419</v>
      </c>
      <c r="P72" s="22" t="s">
        <v>453</v>
      </c>
      <c r="Q72" s="22" t="s">
        <v>373</v>
      </c>
      <c r="R72" s="22">
        <v>17</v>
      </c>
      <c r="S72" s="21">
        <v>43</v>
      </c>
      <c r="T72" s="22">
        <v>4</v>
      </c>
      <c r="U72" s="21">
        <v>0</v>
      </c>
      <c r="V72" s="21">
        <v>1</v>
      </c>
      <c r="W72" s="48">
        <v>0.1</v>
      </c>
      <c r="X72" s="21">
        <v>0</v>
      </c>
      <c r="Y72" s="102">
        <v>0</v>
      </c>
      <c r="Z72" s="116">
        <v>0</v>
      </c>
      <c r="AA72" s="87">
        <v>1000000000</v>
      </c>
      <c r="AB72" s="29">
        <v>0</v>
      </c>
      <c r="AC72" s="29">
        <v>0</v>
      </c>
      <c r="AD72" s="29">
        <v>0</v>
      </c>
      <c r="AE72" s="29">
        <f t="shared" si="0"/>
        <v>1000000000</v>
      </c>
      <c r="AF72" s="68" t="s">
        <v>369</v>
      </c>
      <c r="AG72" s="71"/>
    </row>
    <row r="73" spans="1:33" x14ac:dyDescent="0.3">
      <c r="A73" s="24"/>
      <c r="B73" s="25"/>
      <c r="C73" s="24"/>
      <c r="D73" s="26"/>
      <c r="E73" s="35"/>
      <c r="F73" s="35"/>
      <c r="G73" s="35"/>
      <c r="H73" s="35"/>
      <c r="I73" s="35"/>
      <c r="J73" s="27"/>
      <c r="K73" s="28"/>
      <c r="L73" s="28"/>
      <c r="M73" s="32"/>
      <c r="N73" s="41"/>
      <c r="O73" s="24"/>
      <c r="P73" s="41"/>
      <c r="Q73" s="41"/>
      <c r="R73" s="41"/>
      <c r="S73" s="52"/>
      <c r="T73" s="41"/>
      <c r="U73" s="52"/>
      <c r="V73" s="52"/>
      <c r="W73" s="52"/>
      <c r="X73" s="52"/>
      <c r="Y73" s="52"/>
      <c r="Z73" s="55"/>
      <c r="AA73" s="52"/>
      <c r="AB73" s="53"/>
      <c r="AC73" s="53"/>
      <c r="AD73" s="29"/>
      <c r="AE73" s="53"/>
      <c r="AF73" s="69"/>
      <c r="AG73" s="71"/>
    </row>
    <row r="74" spans="1:33" ht="38.25" customHeight="1" x14ac:dyDescent="0.3">
      <c r="A74" s="148" t="s">
        <v>345</v>
      </c>
      <c r="B74" s="149">
        <v>19.260999999999999</v>
      </c>
      <c r="C74" s="148" t="s">
        <v>346</v>
      </c>
      <c r="D74" s="149">
        <v>100</v>
      </c>
      <c r="E74" s="75">
        <v>0</v>
      </c>
      <c r="F74" s="75">
        <v>3.1029999999999998</v>
      </c>
      <c r="G74" s="75">
        <v>2.1999999999999997</v>
      </c>
      <c r="H74" s="75">
        <v>2.1999999999999997</v>
      </c>
      <c r="I74" s="75">
        <v>0.77799999999999991</v>
      </c>
      <c r="J74" s="8">
        <v>51030010001</v>
      </c>
      <c r="K74" s="19" t="s">
        <v>233</v>
      </c>
      <c r="L74" s="19" t="s">
        <v>234</v>
      </c>
      <c r="M74" s="3" t="s">
        <v>107</v>
      </c>
      <c r="N74" s="22" t="s">
        <v>373</v>
      </c>
      <c r="O74" s="73" t="s">
        <v>454</v>
      </c>
      <c r="P74" s="22" t="s">
        <v>455</v>
      </c>
      <c r="Q74" s="22" t="s">
        <v>373</v>
      </c>
      <c r="R74" s="22">
        <v>8</v>
      </c>
      <c r="S74" s="21">
        <v>35</v>
      </c>
      <c r="T74" s="22">
        <v>13</v>
      </c>
      <c r="U74" s="21">
        <v>0</v>
      </c>
      <c r="V74" s="21">
        <v>1</v>
      </c>
      <c r="W74" s="21">
        <v>0</v>
      </c>
      <c r="X74" s="21">
        <v>1</v>
      </c>
      <c r="Y74" s="94">
        <v>1</v>
      </c>
      <c r="Z74" s="116">
        <v>1</v>
      </c>
      <c r="AA74" s="87">
        <v>0</v>
      </c>
      <c r="AB74" s="29">
        <v>60000000</v>
      </c>
      <c r="AC74" s="29">
        <v>73514240</v>
      </c>
      <c r="AD74" s="29">
        <v>104336000</v>
      </c>
      <c r="AE74" s="29">
        <f t="shared" si="0"/>
        <v>237850240</v>
      </c>
      <c r="AF74" s="68" t="s">
        <v>357</v>
      </c>
      <c r="AG74" s="71"/>
    </row>
    <row r="75" spans="1:33" ht="71.25" customHeight="1" x14ac:dyDescent="0.3">
      <c r="A75" s="148"/>
      <c r="B75" s="149">
        <v>0</v>
      </c>
      <c r="C75" s="148"/>
      <c r="D75" s="149">
        <v>0</v>
      </c>
      <c r="E75" s="75">
        <v>0</v>
      </c>
      <c r="F75" s="75">
        <f>2.867-2.867</f>
        <v>0</v>
      </c>
      <c r="G75" s="75">
        <v>2.427</v>
      </c>
      <c r="H75" s="75">
        <f>3.514-3.514</f>
        <v>0</v>
      </c>
      <c r="I75" s="75">
        <v>2.202</v>
      </c>
      <c r="J75" s="8">
        <v>51030010002</v>
      </c>
      <c r="K75" s="19" t="s">
        <v>235</v>
      </c>
      <c r="L75" s="19" t="s">
        <v>236</v>
      </c>
      <c r="M75" s="3" t="s">
        <v>107</v>
      </c>
      <c r="N75" s="22" t="s">
        <v>373</v>
      </c>
      <c r="O75" s="73" t="s">
        <v>456</v>
      </c>
      <c r="P75" s="22" t="s">
        <v>1759</v>
      </c>
      <c r="Q75" s="22" t="s">
        <v>373</v>
      </c>
      <c r="R75" s="22">
        <v>8</v>
      </c>
      <c r="S75" s="21">
        <v>35</v>
      </c>
      <c r="T75" s="22">
        <v>13</v>
      </c>
      <c r="U75" s="21">
        <v>0</v>
      </c>
      <c r="V75" s="21">
        <v>1</v>
      </c>
      <c r="W75" s="21">
        <v>0</v>
      </c>
      <c r="X75" s="33">
        <v>0</v>
      </c>
      <c r="Y75" s="103">
        <v>0.66</v>
      </c>
      <c r="Z75" s="123">
        <v>0</v>
      </c>
      <c r="AA75" s="87">
        <v>0</v>
      </c>
      <c r="AB75" s="29">
        <v>0</v>
      </c>
      <c r="AC75" s="29">
        <v>500000000</v>
      </c>
      <c r="AD75" s="29">
        <v>0</v>
      </c>
      <c r="AE75" s="29">
        <f t="shared" ref="AE75:AE133" si="1">SUM(AA75:AD75)</f>
        <v>500000000</v>
      </c>
      <c r="AF75" s="68" t="s">
        <v>364</v>
      </c>
      <c r="AG75" s="71"/>
    </row>
    <row r="76" spans="1:33" ht="165.6" x14ac:dyDescent="0.3">
      <c r="A76" s="148"/>
      <c r="B76" s="149">
        <v>0</v>
      </c>
      <c r="C76" s="148"/>
      <c r="D76" s="149">
        <v>0</v>
      </c>
      <c r="E76" s="75">
        <v>12.089</v>
      </c>
      <c r="F76" s="75">
        <f>3.471+2.867</f>
        <v>6.3380000000000001</v>
      </c>
      <c r="G76" s="75">
        <v>3.9180000000000001</v>
      </c>
      <c r="H76" s="75">
        <v>3.5740000000000003</v>
      </c>
      <c r="I76" s="75">
        <v>5.7629999999999999</v>
      </c>
      <c r="J76" s="8">
        <v>51030010003</v>
      </c>
      <c r="K76" s="19" t="s">
        <v>237</v>
      </c>
      <c r="L76" s="19" t="s">
        <v>238</v>
      </c>
      <c r="M76" s="3" t="s">
        <v>107</v>
      </c>
      <c r="N76" s="22" t="s">
        <v>373</v>
      </c>
      <c r="O76" s="73" t="s">
        <v>457</v>
      </c>
      <c r="P76" s="22" t="s">
        <v>458</v>
      </c>
      <c r="Q76" s="22" t="s">
        <v>373</v>
      </c>
      <c r="R76" s="22">
        <v>17</v>
      </c>
      <c r="S76" s="21">
        <v>35</v>
      </c>
      <c r="T76" s="22">
        <v>13</v>
      </c>
      <c r="U76" s="21">
        <v>1</v>
      </c>
      <c r="V76" s="21">
        <v>5</v>
      </c>
      <c r="W76" s="21">
        <v>2</v>
      </c>
      <c r="X76" s="21">
        <v>3</v>
      </c>
      <c r="Y76" s="94">
        <v>4</v>
      </c>
      <c r="Z76" s="116">
        <v>5</v>
      </c>
      <c r="AA76" s="87">
        <v>1550000000</v>
      </c>
      <c r="AB76" s="29">
        <v>400000000</v>
      </c>
      <c r="AC76" s="29">
        <v>575000000</v>
      </c>
      <c r="AD76" s="53">
        <v>610380000</v>
      </c>
      <c r="AE76" s="29">
        <f t="shared" si="1"/>
        <v>3135380000</v>
      </c>
      <c r="AF76" s="68" t="s">
        <v>364</v>
      </c>
      <c r="AG76" s="71"/>
    </row>
    <row r="77" spans="1:33" ht="41.4" x14ac:dyDescent="0.3">
      <c r="A77" s="148"/>
      <c r="B77" s="149">
        <v>0</v>
      </c>
      <c r="C77" s="148"/>
      <c r="D77" s="149">
        <v>0</v>
      </c>
      <c r="E77" s="75">
        <v>22.989000000000001</v>
      </c>
      <c r="F77" s="75">
        <f>15.907-2.095</f>
        <v>13.811999999999999</v>
      </c>
      <c r="G77" s="75">
        <v>10.986000000000001</v>
      </c>
      <c r="H77" s="75">
        <f>13.034+0.8</f>
        <v>13.834000000000001</v>
      </c>
      <c r="I77" s="75">
        <v>16.053999999999998</v>
      </c>
      <c r="J77" s="8">
        <v>51030010004</v>
      </c>
      <c r="K77" s="19" t="s">
        <v>1760</v>
      </c>
      <c r="L77" s="19" t="s">
        <v>239</v>
      </c>
      <c r="M77" s="3" t="s">
        <v>144</v>
      </c>
      <c r="N77" s="22" t="s">
        <v>373</v>
      </c>
      <c r="O77" s="73" t="s">
        <v>381</v>
      </c>
      <c r="P77" s="22" t="s">
        <v>459</v>
      </c>
      <c r="Q77" s="22" t="s">
        <v>373</v>
      </c>
      <c r="R77" s="22">
        <v>8</v>
      </c>
      <c r="S77" s="21">
        <v>33</v>
      </c>
      <c r="T77" s="22">
        <v>5</v>
      </c>
      <c r="U77" s="21">
        <v>9</v>
      </c>
      <c r="V77" s="21">
        <v>11</v>
      </c>
      <c r="W77" s="21">
        <v>7</v>
      </c>
      <c r="X77" s="21">
        <v>11</v>
      </c>
      <c r="Y77" s="94">
        <v>11</v>
      </c>
      <c r="Z77" s="116">
        <v>11</v>
      </c>
      <c r="AA77" s="87">
        <v>7278592868</v>
      </c>
      <c r="AB77" s="29">
        <v>5446590576</v>
      </c>
      <c r="AC77" s="29">
        <v>1944851652</v>
      </c>
      <c r="AD77" s="29">
        <v>3549833456</v>
      </c>
      <c r="AE77" s="29">
        <f t="shared" si="1"/>
        <v>18219868552</v>
      </c>
      <c r="AF77" s="68" t="s">
        <v>355</v>
      </c>
      <c r="AG77" s="71"/>
    </row>
    <row r="78" spans="1:33" ht="55.2" x14ac:dyDescent="0.3">
      <c r="A78" s="148"/>
      <c r="B78" s="149">
        <v>0</v>
      </c>
      <c r="C78" s="148"/>
      <c r="D78" s="149">
        <v>0</v>
      </c>
      <c r="E78" s="75">
        <v>0</v>
      </c>
      <c r="F78" s="75">
        <v>2.6080000000000001</v>
      </c>
      <c r="G78" s="75">
        <v>2.3069999999999999</v>
      </c>
      <c r="H78" s="75">
        <f>2.382+0.3</f>
        <v>2.6819999999999999</v>
      </c>
      <c r="I78" s="75">
        <v>1.8239999999999998</v>
      </c>
      <c r="J78" s="8">
        <v>51030010005</v>
      </c>
      <c r="K78" s="19" t="s">
        <v>240</v>
      </c>
      <c r="L78" s="19" t="s">
        <v>241</v>
      </c>
      <c r="M78" s="3" t="s">
        <v>107</v>
      </c>
      <c r="N78" s="22" t="s">
        <v>373</v>
      </c>
      <c r="O78" s="73" t="s">
        <v>381</v>
      </c>
      <c r="P78" s="22" t="s">
        <v>460</v>
      </c>
      <c r="Q78" s="22" t="s">
        <v>373</v>
      </c>
      <c r="R78" s="22">
        <v>8</v>
      </c>
      <c r="S78" s="21">
        <v>33</v>
      </c>
      <c r="T78" s="22">
        <v>5</v>
      </c>
      <c r="U78" s="21">
        <v>120</v>
      </c>
      <c r="V78" s="21">
        <v>270</v>
      </c>
      <c r="W78" s="21">
        <v>0</v>
      </c>
      <c r="X78" s="21">
        <v>160</v>
      </c>
      <c r="Y78" s="94">
        <v>196</v>
      </c>
      <c r="Z78" s="116">
        <v>270</v>
      </c>
      <c r="AA78" s="87">
        <v>0</v>
      </c>
      <c r="AB78" s="29">
        <v>200000000</v>
      </c>
      <c r="AC78" s="29">
        <v>272562750</v>
      </c>
      <c r="AD78" s="52">
        <v>272562750</v>
      </c>
      <c r="AE78" s="29">
        <f t="shared" si="1"/>
        <v>745125500</v>
      </c>
      <c r="AF78" s="68" t="s">
        <v>355</v>
      </c>
      <c r="AG78" s="71"/>
    </row>
    <row r="79" spans="1:33" ht="124.2" x14ac:dyDescent="0.3">
      <c r="A79" s="148"/>
      <c r="B79" s="149">
        <v>0</v>
      </c>
      <c r="C79" s="148"/>
      <c r="D79" s="149">
        <v>0</v>
      </c>
      <c r="E79" s="75">
        <v>16.134</v>
      </c>
      <c r="F79" s="75">
        <v>13.593</v>
      </c>
      <c r="G79" s="75">
        <v>4.343</v>
      </c>
      <c r="H79" s="75">
        <f>5.188+2</f>
        <v>7.1879999999999997</v>
      </c>
      <c r="I79" s="75">
        <v>10.113999999999999</v>
      </c>
      <c r="J79" s="8">
        <v>51030010006</v>
      </c>
      <c r="K79" s="19" t="s">
        <v>242</v>
      </c>
      <c r="L79" s="19" t="s">
        <v>243</v>
      </c>
      <c r="M79" s="3" t="s">
        <v>107</v>
      </c>
      <c r="N79" s="22" t="s">
        <v>373</v>
      </c>
      <c r="O79" s="73" t="s">
        <v>457</v>
      </c>
      <c r="P79" s="22" t="s">
        <v>461</v>
      </c>
      <c r="Q79" s="22" t="s">
        <v>373</v>
      </c>
      <c r="R79" s="22">
        <v>3</v>
      </c>
      <c r="S79" s="21">
        <v>43</v>
      </c>
      <c r="T79" s="22">
        <v>4</v>
      </c>
      <c r="U79" s="21">
        <v>34</v>
      </c>
      <c r="V79" s="21">
        <v>134</v>
      </c>
      <c r="W79" s="21">
        <v>38</v>
      </c>
      <c r="X79" s="21">
        <v>58</v>
      </c>
      <c r="Y79" s="94">
        <v>102</v>
      </c>
      <c r="Z79" s="116">
        <v>134</v>
      </c>
      <c r="AA79" s="87">
        <v>5773656044</v>
      </c>
      <c r="AB79" s="29">
        <v>2045761219</v>
      </c>
      <c r="AC79" s="29">
        <v>1878480459</v>
      </c>
      <c r="AD79" s="29">
        <v>1626864199</v>
      </c>
      <c r="AE79" s="29">
        <f t="shared" si="1"/>
        <v>11324761921</v>
      </c>
      <c r="AF79" s="68" t="s">
        <v>369</v>
      </c>
      <c r="AG79" s="71"/>
    </row>
    <row r="80" spans="1:33" ht="124.2" x14ac:dyDescent="0.3">
      <c r="A80" s="148"/>
      <c r="B80" s="149">
        <v>0</v>
      </c>
      <c r="C80" s="148"/>
      <c r="D80" s="149">
        <v>0</v>
      </c>
      <c r="E80" s="75">
        <v>7.8950000000000005</v>
      </c>
      <c r="F80" s="75">
        <f>4.166-4.166</f>
        <v>0</v>
      </c>
      <c r="G80" s="75">
        <v>2.1069999999999998</v>
      </c>
      <c r="H80" s="75">
        <f>2.621+4</f>
        <v>6.6210000000000004</v>
      </c>
      <c r="I80" s="75">
        <v>4.1970000000000001</v>
      </c>
      <c r="J80" s="8">
        <v>51030010007</v>
      </c>
      <c r="K80" s="19" t="s">
        <v>244</v>
      </c>
      <c r="L80" s="19" t="s">
        <v>245</v>
      </c>
      <c r="M80" s="3" t="s">
        <v>107</v>
      </c>
      <c r="N80" s="22" t="s">
        <v>373</v>
      </c>
      <c r="O80" s="73" t="s">
        <v>457</v>
      </c>
      <c r="P80" s="22" t="s">
        <v>462</v>
      </c>
      <c r="Q80" s="22" t="s">
        <v>373</v>
      </c>
      <c r="R80" s="22">
        <v>17</v>
      </c>
      <c r="S80" s="21">
        <v>43</v>
      </c>
      <c r="T80" s="22">
        <v>4</v>
      </c>
      <c r="U80" s="21">
        <v>344</v>
      </c>
      <c r="V80" s="21">
        <v>644</v>
      </c>
      <c r="W80" s="21">
        <v>348</v>
      </c>
      <c r="X80" s="21">
        <v>0</v>
      </c>
      <c r="Y80" s="94">
        <v>549</v>
      </c>
      <c r="Z80" s="116">
        <v>644</v>
      </c>
      <c r="AA80" s="87">
        <v>363139099</v>
      </c>
      <c r="AB80" s="29">
        <v>0</v>
      </c>
      <c r="AC80" s="29">
        <v>390055680</v>
      </c>
      <c r="AD80" s="29">
        <v>1435055149</v>
      </c>
      <c r="AE80" s="29">
        <f t="shared" si="1"/>
        <v>2188249928</v>
      </c>
      <c r="AF80" s="68" t="s">
        <v>369</v>
      </c>
      <c r="AG80" s="71"/>
    </row>
    <row r="81" spans="1:33" ht="69" x14ac:dyDescent="0.3">
      <c r="A81" s="148"/>
      <c r="B81" s="149">
        <v>0</v>
      </c>
      <c r="C81" s="148"/>
      <c r="D81" s="149">
        <v>0</v>
      </c>
      <c r="E81" s="75">
        <v>0</v>
      </c>
      <c r="F81" s="75">
        <f>2.095-2.095+2.095</f>
        <v>2.0950000000000002</v>
      </c>
      <c r="G81" s="75">
        <v>1.0720000000000001</v>
      </c>
      <c r="H81" s="75">
        <f>3.349-0.8</f>
        <v>2.5490000000000004</v>
      </c>
      <c r="I81" s="75">
        <v>1.629</v>
      </c>
      <c r="J81" s="8">
        <v>51030010008</v>
      </c>
      <c r="K81" s="19" t="s">
        <v>246</v>
      </c>
      <c r="L81" s="19" t="s">
        <v>247</v>
      </c>
      <c r="M81" s="3" t="s">
        <v>107</v>
      </c>
      <c r="N81" s="22" t="s">
        <v>373</v>
      </c>
      <c r="O81" s="73" t="s">
        <v>381</v>
      </c>
      <c r="P81" s="22" t="s">
        <v>463</v>
      </c>
      <c r="Q81" s="22" t="s">
        <v>373</v>
      </c>
      <c r="R81" s="22">
        <v>8</v>
      </c>
      <c r="S81" s="21">
        <v>23</v>
      </c>
      <c r="T81" s="22">
        <v>17</v>
      </c>
      <c r="U81" s="21">
        <v>3</v>
      </c>
      <c r="V81" s="21">
        <v>11</v>
      </c>
      <c r="W81" s="21">
        <v>0</v>
      </c>
      <c r="X81" s="22">
        <v>5</v>
      </c>
      <c r="Y81" s="94">
        <v>8</v>
      </c>
      <c r="Z81" s="117">
        <v>11</v>
      </c>
      <c r="AA81" s="87">
        <v>0</v>
      </c>
      <c r="AB81" s="29">
        <v>150000000</v>
      </c>
      <c r="AC81" s="29">
        <v>350000000</v>
      </c>
      <c r="AD81" s="29">
        <v>166215420</v>
      </c>
      <c r="AE81" s="29">
        <f t="shared" si="1"/>
        <v>666215420</v>
      </c>
      <c r="AF81" s="68" t="s">
        <v>354</v>
      </c>
      <c r="AG81" s="71"/>
    </row>
    <row r="82" spans="1:33" ht="110.4" x14ac:dyDescent="0.3">
      <c r="A82" s="148"/>
      <c r="B82" s="149">
        <v>0</v>
      </c>
      <c r="C82" s="148"/>
      <c r="D82" s="149">
        <v>0</v>
      </c>
      <c r="E82" s="75">
        <v>8.61</v>
      </c>
      <c r="F82" s="75">
        <v>3.26</v>
      </c>
      <c r="G82" s="75">
        <v>11.138</v>
      </c>
      <c r="H82" s="75">
        <v>2.1479999999999997</v>
      </c>
      <c r="I82" s="75">
        <v>6.2889999999999997</v>
      </c>
      <c r="J82" s="8">
        <v>51030010009</v>
      </c>
      <c r="K82" s="19" t="s">
        <v>248</v>
      </c>
      <c r="L82" s="19" t="s">
        <v>249</v>
      </c>
      <c r="M82" s="3" t="s">
        <v>107</v>
      </c>
      <c r="N82" s="22" t="s">
        <v>374</v>
      </c>
      <c r="O82" s="73" t="s">
        <v>464</v>
      </c>
      <c r="P82" s="22" t="s">
        <v>1761</v>
      </c>
      <c r="Q82" s="22" t="s">
        <v>374</v>
      </c>
      <c r="R82" s="22">
        <v>11</v>
      </c>
      <c r="S82" s="21">
        <v>35</v>
      </c>
      <c r="T82" s="22">
        <v>13</v>
      </c>
      <c r="U82" s="21">
        <v>0</v>
      </c>
      <c r="V82" s="21">
        <v>100</v>
      </c>
      <c r="W82" s="21">
        <v>10</v>
      </c>
      <c r="X82" s="21">
        <v>30</v>
      </c>
      <c r="Y82" s="94">
        <v>70</v>
      </c>
      <c r="Z82" s="116">
        <v>100</v>
      </c>
      <c r="AA82" s="87">
        <v>500000000</v>
      </c>
      <c r="AB82" s="29">
        <v>150000000</v>
      </c>
      <c r="AC82" s="29">
        <v>20100000000</v>
      </c>
      <c r="AD82" s="29">
        <v>87371000</v>
      </c>
      <c r="AE82" s="29">
        <f t="shared" si="1"/>
        <v>20837371000</v>
      </c>
      <c r="AF82" s="68" t="s">
        <v>357</v>
      </c>
      <c r="AG82" s="71"/>
    </row>
    <row r="83" spans="1:33" ht="41.4" x14ac:dyDescent="0.3">
      <c r="A83" s="148"/>
      <c r="B83" s="149">
        <v>0</v>
      </c>
      <c r="C83" s="148"/>
      <c r="D83" s="149">
        <v>0</v>
      </c>
      <c r="E83" s="75">
        <v>9.2740000000000009</v>
      </c>
      <c r="F83" s="75">
        <f>2.591+2.095</f>
        <v>4.6859999999999999</v>
      </c>
      <c r="G83" s="75">
        <v>1.2869999999999999</v>
      </c>
      <c r="H83" s="75">
        <f>2.626+0.788+5</f>
        <v>8.4139999999999997</v>
      </c>
      <c r="I83" s="75">
        <v>3.9440000000000004</v>
      </c>
      <c r="J83" s="8">
        <v>51030010010</v>
      </c>
      <c r="K83" s="19" t="s">
        <v>250</v>
      </c>
      <c r="L83" s="19" t="s">
        <v>251</v>
      </c>
      <c r="M83" s="3" t="s">
        <v>107</v>
      </c>
      <c r="N83" s="22" t="s">
        <v>373</v>
      </c>
      <c r="O83" s="73" t="s">
        <v>381</v>
      </c>
      <c r="P83" s="22" t="s">
        <v>465</v>
      </c>
      <c r="Q83" s="22" t="s">
        <v>373</v>
      </c>
      <c r="R83" s="22">
        <v>8</v>
      </c>
      <c r="S83" s="21">
        <v>35</v>
      </c>
      <c r="T83" s="22">
        <v>13</v>
      </c>
      <c r="U83" s="21">
        <v>0</v>
      </c>
      <c r="V83" s="21">
        <v>7</v>
      </c>
      <c r="W83" s="21">
        <v>2</v>
      </c>
      <c r="X83" s="21">
        <v>4</v>
      </c>
      <c r="Y83" s="101">
        <v>6</v>
      </c>
      <c r="Z83" s="116">
        <v>7</v>
      </c>
      <c r="AA83" s="87">
        <v>627244014</v>
      </c>
      <c r="AB83" s="29">
        <v>1492738000</v>
      </c>
      <c r="AC83" s="29">
        <v>1819720600</v>
      </c>
      <c r="AD83" s="29">
        <v>2163115000</v>
      </c>
      <c r="AE83" s="29">
        <f t="shared" si="1"/>
        <v>6102817614</v>
      </c>
      <c r="AF83" s="68" t="s">
        <v>357</v>
      </c>
      <c r="AG83" s="71"/>
    </row>
    <row r="84" spans="1:33" ht="41.4" x14ac:dyDescent="0.3">
      <c r="A84" s="148"/>
      <c r="B84" s="149">
        <v>0</v>
      </c>
      <c r="C84" s="148"/>
      <c r="D84" s="149">
        <v>0</v>
      </c>
      <c r="E84" s="75">
        <v>0</v>
      </c>
      <c r="F84" s="75">
        <v>3.2809999999999997</v>
      </c>
      <c r="G84" s="75">
        <v>2.819</v>
      </c>
      <c r="H84" s="75">
        <f>2.95+0.7</f>
        <v>3.6500000000000004</v>
      </c>
      <c r="I84" s="75">
        <v>2.262</v>
      </c>
      <c r="J84" s="8">
        <v>51030010011</v>
      </c>
      <c r="K84" s="19" t="s">
        <v>252</v>
      </c>
      <c r="L84" s="19" t="s">
        <v>253</v>
      </c>
      <c r="M84" s="3" t="s">
        <v>107</v>
      </c>
      <c r="N84" s="22" t="s">
        <v>373</v>
      </c>
      <c r="O84" s="73" t="s">
        <v>381</v>
      </c>
      <c r="P84" s="22" t="s">
        <v>466</v>
      </c>
      <c r="Q84" s="22" t="s">
        <v>373</v>
      </c>
      <c r="R84" s="22">
        <v>8</v>
      </c>
      <c r="S84" s="21">
        <v>35</v>
      </c>
      <c r="T84" s="22">
        <v>16</v>
      </c>
      <c r="U84" s="21">
        <v>0</v>
      </c>
      <c r="V84" s="21">
        <v>10</v>
      </c>
      <c r="W84" s="21">
        <v>0</v>
      </c>
      <c r="X84" s="21">
        <v>8</v>
      </c>
      <c r="Y84" s="94">
        <v>8</v>
      </c>
      <c r="Z84" s="116">
        <v>10</v>
      </c>
      <c r="AA84" s="87">
        <v>0</v>
      </c>
      <c r="AB84" s="29">
        <v>737908190</v>
      </c>
      <c r="AC84" s="29">
        <v>898963869</v>
      </c>
      <c r="AD84" s="29">
        <v>536503902</v>
      </c>
      <c r="AE84" s="29">
        <f t="shared" si="1"/>
        <v>2173375961</v>
      </c>
      <c r="AF84" s="68" t="s">
        <v>357</v>
      </c>
      <c r="AG84" s="71"/>
    </row>
    <row r="85" spans="1:33" ht="55.2" x14ac:dyDescent="0.3">
      <c r="A85" s="148"/>
      <c r="B85" s="149">
        <v>0</v>
      </c>
      <c r="C85" s="148"/>
      <c r="D85" s="149">
        <v>0</v>
      </c>
      <c r="E85" s="75">
        <v>10.367999999999999</v>
      </c>
      <c r="F85" s="75">
        <v>2.4910000000000001</v>
      </c>
      <c r="G85" s="75">
        <v>2.754</v>
      </c>
      <c r="H85" s="75">
        <f>2.952+0.6+2</f>
        <v>5.5519999999999996</v>
      </c>
      <c r="I85" s="75">
        <v>4.641</v>
      </c>
      <c r="J85" s="8">
        <v>51030010012</v>
      </c>
      <c r="K85" s="19" t="s">
        <v>254</v>
      </c>
      <c r="L85" s="19" t="s">
        <v>255</v>
      </c>
      <c r="M85" s="3" t="s">
        <v>107</v>
      </c>
      <c r="N85" s="22" t="s">
        <v>373</v>
      </c>
      <c r="O85" s="73" t="s">
        <v>381</v>
      </c>
      <c r="P85" s="22" t="s">
        <v>467</v>
      </c>
      <c r="Q85" s="22" t="s">
        <v>373</v>
      </c>
      <c r="R85" s="22">
        <v>8</v>
      </c>
      <c r="S85" s="21">
        <v>35</v>
      </c>
      <c r="T85" s="22">
        <v>13</v>
      </c>
      <c r="U85" s="21">
        <v>0</v>
      </c>
      <c r="V85" s="21">
        <v>10</v>
      </c>
      <c r="W85" s="21">
        <v>2</v>
      </c>
      <c r="X85" s="21">
        <v>4</v>
      </c>
      <c r="Y85" s="94">
        <v>7</v>
      </c>
      <c r="Z85" s="116">
        <v>10</v>
      </c>
      <c r="AA85" s="87">
        <v>2752824810</v>
      </c>
      <c r="AB85" s="29">
        <v>843612000</v>
      </c>
      <c r="AC85" s="29">
        <v>1249226400</v>
      </c>
      <c r="AD85" s="29">
        <v>1066076000</v>
      </c>
      <c r="AE85" s="29">
        <f t="shared" si="1"/>
        <v>5911739210</v>
      </c>
      <c r="AF85" s="68" t="s">
        <v>357</v>
      </c>
      <c r="AG85" s="71"/>
    </row>
    <row r="86" spans="1:33" ht="41.4" x14ac:dyDescent="0.3">
      <c r="A86" s="148"/>
      <c r="B86" s="149">
        <v>0</v>
      </c>
      <c r="C86" s="148"/>
      <c r="D86" s="149">
        <v>0</v>
      </c>
      <c r="E86" s="75">
        <v>0</v>
      </c>
      <c r="F86" s="75">
        <v>3.1739999999999999</v>
      </c>
      <c r="G86" s="75">
        <v>3.089</v>
      </c>
      <c r="H86" s="75">
        <v>2.11</v>
      </c>
      <c r="I86" s="75">
        <v>2.093</v>
      </c>
      <c r="J86" s="8">
        <v>51030010013</v>
      </c>
      <c r="K86" s="19" t="s">
        <v>256</v>
      </c>
      <c r="L86" s="19" t="s">
        <v>257</v>
      </c>
      <c r="M86" s="3" t="s">
        <v>107</v>
      </c>
      <c r="N86" s="22" t="s">
        <v>373</v>
      </c>
      <c r="O86" s="73" t="s">
        <v>381</v>
      </c>
      <c r="P86" s="22" t="s">
        <v>468</v>
      </c>
      <c r="Q86" s="22" t="s">
        <v>373</v>
      </c>
      <c r="R86" s="22">
        <v>8</v>
      </c>
      <c r="S86" s="21">
        <v>35</v>
      </c>
      <c r="T86" s="22">
        <v>13</v>
      </c>
      <c r="U86" s="21">
        <v>0</v>
      </c>
      <c r="V86" s="21">
        <v>6</v>
      </c>
      <c r="W86" s="21">
        <v>0</v>
      </c>
      <c r="X86" s="21">
        <v>2</v>
      </c>
      <c r="Y86" s="94">
        <v>4</v>
      </c>
      <c r="Z86" s="116">
        <v>6</v>
      </c>
      <c r="AA86" s="87">
        <v>0</v>
      </c>
      <c r="AB86" s="29">
        <v>80000000</v>
      </c>
      <c r="AC86" s="29">
        <v>117000000</v>
      </c>
      <c r="AD86" s="29">
        <v>90000000</v>
      </c>
      <c r="AE86" s="29">
        <f t="shared" si="1"/>
        <v>287000000</v>
      </c>
      <c r="AF86" s="68" t="s">
        <v>357</v>
      </c>
      <c r="AG86" s="71"/>
    </row>
    <row r="87" spans="1:33" ht="55.2" x14ac:dyDescent="0.3">
      <c r="A87" s="148"/>
      <c r="B87" s="149">
        <v>0</v>
      </c>
      <c r="C87" s="148"/>
      <c r="D87" s="149">
        <v>0</v>
      </c>
      <c r="E87" s="75">
        <v>5.1679999999999993</v>
      </c>
      <c r="F87" s="75">
        <v>3.1739999999999999</v>
      </c>
      <c r="G87" s="75">
        <v>3.085</v>
      </c>
      <c r="H87" s="75">
        <f>2.108+0.7</f>
        <v>2.8079999999999998</v>
      </c>
      <c r="I87" s="75">
        <v>3.3840000000000003</v>
      </c>
      <c r="J87" s="8">
        <v>51030010014</v>
      </c>
      <c r="K87" s="19" t="s">
        <v>258</v>
      </c>
      <c r="L87" s="19" t="s">
        <v>259</v>
      </c>
      <c r="M87" s="3" t="s">
        <v>107</v>
      </c>
      <c r="N87" s="22" t="s">
        <v>373</v>
      </c>
      <c r="O87" s="73" t="s">
        <v>381</v>
      </c>
      <c r="P87" s="22" t="s">
        <v>469</v>
      </c>
      <c r="Q87" s="22" t="s">
        <v>373</v>
      </c>
      <c r="R87" s="22">
        <v>8</v>
      </c>
      <c r="S87" s="21">
        <v>35</v>
      </c>
      <c r="T87" s="22">
        <v>13</v>
      </c>
      <c r="U87" s="21">
        <v>0</v>
      </c>
      <c r="V87" s="21">
        <v>10</v>
      </c>
      <c r="W87" s="21">
        <v>1</v>
      </c>
      <c r="X87" s="21">
        <v>4</v>
      </c>
      <c r="Y87" s="94">
        <v>7</v>
      </c>
      <c r="Z87" s="116">
        <v>10</v>
      </c>
      <c r="AA87" s="87">
        <v>32270000</v>
      </c>
      <c r="AB87" s="29">
        <v>100000000</v>
      </c>
      <c r="AC87" s="29">
        <v>159361920</v>
      </c>
      <c r="AD87" s="29">
        <v>311540000</v>
      </c>
      <c r="AE87" s="29">
        <f t="shared" si="1"/>
        <v>603171920</v>
      </c>
      <c r="AF87" s="68" t="s">
        <v>357</v>
      </c>
      <c r="AG87" s="71"/>
    </row>
    <row r="88" spans="1:33" ht="41.4" x14ac:dyDescent="0.3">
      <c r="A88" s="148"/>
      <c r="B88" s="149">
        <v>0</v>
      </c>
      <c r="C88" s="148"/>
      <c r="D88" s="149">
        <v>0</v>
      </c>
      <c r="E88" s="75">
        <v>0</v>
      </c>
      <c r="F88" s="75">
        <v>2.2079999999999997</v>
      </c>
      <c r="G88" s="75">
        <v>2.1059999999999999</v>
      </c>
      <c r="H88" s="75">
        <v>2.1340000000000003</v>
      </c>
      <c r="I88" s="75">
        <v>1.6119999999999999</v>
      </c>
      <c r="J88" s="8">
        <v>51030010015</v>
      </c>
      <c r="K88" s="19" t="s">
        <v>260</v>
      </c>
      <c r="L88" s="19" t="s">
        <v>261</v>
      </c>
      <c r="M88" s="3" t="s">
        <v>107</v>
      </c>
      <c r="N88" s="22" t="s">
        <v>373</v>
      </c>
      <c r="O88" s="73" t="s">
        <v>381</v>
      </c>
      <c r="P88" s="22" t="s">
        <v>470</v>
      </c>
      <c r="Q88" s="22" t="s">
        <v>373</v>
      </c>
      <c r="R88" s="22">
        <v>8</v>
      </c>
      <c r="S88" s="21">
        <v>35</v>
      </c>
      <c r="T88" s="22">
        <v>13</v>
      </c>
      <c r="U88" s="21">
        <v>0</v>
      </c>
      <c r="V88" s="21">
        <v>4</v>
      </c>
      <c r="W88" s="21">
        <v>0</v>
      </c>
      <c r="X88" s="21">
        <v>2</v>
      </c>
      <c r="Y88" s="94">
        <v>3</v>
      </c>
      <c r="Z88" s="116">
        <v>4</v>
      </c>
      <c r="AA88" s="87">
        <v>0</v>
      </c>
      <c r="AB88" s="29">
        <v>80000000</v>
      </c>
      <c r="AC88" s="29">
        <v>316000000</v>
      </c>
      <c r="AD88" s="29">
        <v>190000000</v>
      </c>
      <c r="AE88" s="29">
        <f t="shared" si="1"/>
        <v>586000000</v>
      </c>
      <c r="AF88" s="68" t="s">
        <v>357</v>
      </c>
      <c r="AG88" s="71"/>
    </row>
    <row r="89" spans="1:33" ht="55.2" x14ac:dyDescent="0.3">
      <c r="A89" s="148"/>
      <c r="B89" s="149">
        <v>0</v>
      </c>
      <c r="C89" s="148"/>
      <c r="D89" s="149">
        <v>0</v>
      </c>
      <c r="E89" s="75">
        <v>0</v>
      </c>
      <c r="F89" s="75">
        <v>2.4790000000000001</v>
      </c>
      <c r="G89" s="75">
        <v>2.2440000000000002</v>
      </c>
      <c r="H89" s="75">
        <f>2.319+3</f>
        <v>5.319</v>
      </c>
      <c r="I89" s="75">
        <v>1.7610000000000001</v>
      </c>
      <c r="J89" s="8">
        <v>51030010016</v>
      </c>
      <c r="K89" s="19" t="s">
        <v>262</v>
      </c>
      <c r="L89" s="19" t="s">
        <v>263</v>
      </c>
      <c r="M89" s="3" t="s">
        <v>107</v>
      </c>
      <c r="N89" s="22" t="s">
        <v>373</v>
      </c>
      <c r="O89" s="73" t="s">
        <v>381</v>
      </c>
      <c r="P89" s="22" t="s">
        <v>471</v>
      </c>
      <c r="Q89" s="22" t="s">
        <v>373</v>
      </c>
      <c r="R89" s="22">
        <v>8</v>
      </c>
      <c r="S89" s="21">
        <v>35</v>
      </c>
      <c r="T89" s="22">
        <v>13</v>
      </c>
      <c r="U89" s="21">
        <v>0</v>
      </c>
      <c r="V89" s="21">
        <v>24</v>
      </c>
      <c r="W89" s="21">
        <v>0</v>
      </c>
      <c r="X89" s="21">
        <v>8</v>
      </c>
      <c r="Y89" s="94">
        <v>16</v>
      </c>
      <c r="Z89" s="116">
        <v>24</v>
      </c>
      <c r="AA89" s="87">
        <v>0</v>
      </c>
      <c r="AB89" s="29">
        <v>275890000</v>
      </c>
      <c r="AC89" s="29">
        <v>848489280</v>
      </c>
      <c r="AD89" s="29">
        <v>1179988000</v>
      </c>
      <c r="AE89" s="29">
        <f t="shared" si="1"/>
        <v>2304367280</v>
      </c>
      <c r="AF89" s="68" t="s">
        <v>357</v>
      </c>
      <c r="AG89" s="71"/>
    </row>
    <row r="90" spans="1:33" ht="55.2" x14ac:dyDescent="0.3">
      <c r="A90" s="148"/>
      <c r="B90" s="149">
        <v>0</v>
      </c>
      <c r="C90" s="148"/>
      <c r="D90" s="149">
        <v>0</v>
      </c>
      <c r="E90" s="75">
        <v>0</v>
      </c>
      <c r="F90" s="75">
        <v>3.1739999999999999</v>
      </c>
      <c r="G90" s="75">
        <v>0</v>
      </c>
      <c r="H90" s="75">
        <v>0</v>
      </c>
      <c r="I90" s="75">
        <v>0.79299999999999993</v>
      </c>
      <c r="J90" s="8">
        <v>51030010017</v>
      </c>
      <c r="K90" s="19" t="s">
        <v>264</v>
      </c>
      <c r="L90" s="19" t="s">
        <v>265</v>
      </c>
      <c r="M90" s="3" t="s">
        <v>107</v>
      </c>
      <c r="N90" s="22" t="s">
        <v>373</v>
      </c>
      <c r="O90" s="73" t="s">
        <v>381</v>
      </c>
      <c r="P90" s="22" t="s">
        <v>472</v>
      </c>
      <c r="Q90" s="22" t="s">
        <v>373</v>
      </c>
      <c r="R90" s="22">
        <v>8</v>
      </c>
      <c r="S90" s="21">
        <v>35</v>
      </c>
      <c r="T90" s="22">
        <v>13</v>
      </c>
      <c r="U90" s="21">
        <v>0</v>
      </c>
      <c r="V90" s="21">
        <v>10</v>
      </c>
      <c r="W90" s="21">
        <v>0</v>
      </c>
      <c r="X90" s="21">
        <v>10</v>
      </c>
      <c r="Y90" s="94">
        <v>0</v>
      </c>
      <c r="Z90" s="116">
        <v>0</v>
      </c>
      <c r="AA90" s="87">
        <v>0</v>
      </c>
      <c r="AB90" s="29">
        <v>100000000</v>
      </c>
      <c r="AC90" s="29">
        <v>0</v>
      </c>
      <c r="AD90" s="29">
        <v>0</v>
      </c>
      <c r="AE90" s="29">
        <f t="shared" si="1"/>
        <v>100000000</v>
      </c>
      <c r="AF90" s="68" t="s">
        <v>357</v>
      </c>
      <c r="AG90" s="71"/>
    </row>
    <row r="91" spans="1:33" ht="41.4" x14ac:dyDescent="0.3">
      <c r="A91" s="148"/>
      <c r="B91" s="149">
        <v>0</v>
      </c>
      <c r="C91" s="148"/>
      <c r="D91" s="149">
        <v>0</v>
      </c>
      <c r="E91" s="75">
        <v>0</v>
      </c>
      <c r="F91" s="75">
        <v>2.5</v>
      </c>
      <c r="G91" s="75">
        <v>18.523</v>
      </c>
      <c r="H91" s="75">
        <f>24.426-5-5-2-2-3-4-0.3-0.7</f>
        <v>2.4259999999999984</v>
      </c>
      <c r="I91" s="75">
        <v>11.837</v>
      </c>
      <c r="J91" s="8">
        <v>51030010018</v>
      </c>
      <c r="K91" s="19" t="s">
        <v>266</v>
      </c>
      <c r="L91" s="19" t="s">
        <v>267</v>
      </c>
      <c r="M91" s="3" t="s">
        <v>107</v>
      </c>
      <c r="N91" s="22" t="s">
        <v>373</v>
      </c>
      <c r="O91" s="73" t="s">
        <v>381</v>
      </c>
      <c r="P91" s="22" t="s">
        <v>473</v>
      </c>
      <c r="Q91" s="22" t="s">
        <v>373</v>
      </c>
      <c r="R91" s="22">
        <v>8</v>
      </c>
      <c r="S91" s="21">
        <v>35</v>
      </c>
      <c r="T91" s="22">
        <v>13</v>
      </c>
      <c r="U91" s="21">
        <v>0</v>
      </c>
      <c r="V91" s="21">
        <v>5</v>
      </c>
      <c r="W91" s="21">
        <v>0</v>
      </c>
      <c r="X91" s="21">
        <v>1</v>
      </c>
      <c r="Y91" s="94">
        <v>3</v>
      </c>
      <c r="Z91" s="116">
        <v>5</v>
      </c>
      <c r="AA91" s="87">
        <v>0</v>
      </c>
      <c r="AB91" s="29">
        <v>180000000</v>
      </c>
      <c r="AC91" s="29">
        <v>50438379920</v>
      </c>
      <c r="AD91" s="29">
        <v>200000000</v>
      </c>
      <c r="AE91" s="29">
        <f t="shared" si="1"/>
        <v>50818379920</v>
      </c>
      <c r="AF91" s="68" t="s">
        <v>357</v>
      </c>
      <c r="AG91" s="71"/>
    </row>
    <row r="92" spans="1:33" ht="69" x14ac:dyDescent="0.3">
      <c r="A92" s="148"/>
      <c r="B92" s="149">
        <v>0</v>
      </c>
      <c r="C92" s="148"/>
      <c r="D92" s="149">
        <v>0</v>
      </c>
      <c r="E92" s="75">
        <v>7.4730000000000008</v>
      </c>
      <c r="F92" s="75">
        <v>2.1219999999999999</v>
      </c>
      <c r="G92" s="75">
        <v>2.0619999999999998</v>
      </c>
      <c r="H92" s="75">
        <f>2.088-0.788-0.7-0.6</f>
        <v>0</v>
      </c>
      <c r="I92" s="75">
        <v>3.4359999999999999</v>
      </c>
      <c r="J92" s="8">
        <v>51030010019</v>
      </c>
      <c r="K92" s="19" t="s">
        <v>268</v>
      </c>
      <c r="L92" s="19" t="s">
        <v>269</v>
      </c>
      <c r="M92" s="3" t="s">
        <v>107</v>
      </c>
      <c r="N92" s="22" t="s">
        <v>373</v>
      </c>
      <c r="O92" s="73" t="s">
        <v>381</v>
      </c>
      <c r="P92" s="22" t="s">
        <v>474</v>
      </c>
      <c r="Q92" s="22" t="s">
        <v>373</v>
      </c>
      <c r="R92" s="22">
        <v>11</v>
      </c>
      <c r="S92" s="21">
        <v>35</v>
      </c>
      <c r="T92" s="22">
        <v>13</v>
      </c>
      <c r="U92" s="21">
        <v>0</v>
      </c>
      <c r="V92" s="21">
        <v>1330</v>
      </c>
      <c r="W92" s="21">
        <v>1120</v>
      </c>
      <c r="X92" s="21">
        <v>1190</v>
      </c>
      <c r="Y92" s="94">
        <v>1330</v>
      </c>
      <c r="Z92" s="116">
        <v>0</v>
      </c>
      <c r="AA92" s="87">
        <v>282188000</v>
      </c>
      <c r="AB92" s="29">
        <v>30000000</v>
      </c>
      <c r="AC92" s="29">
        <v>49670520</v>
      </c>
      <c r="AD92" s="29">
        <v>0</v>
      </c>
      <c r="AE92" s="29">
        <f t="shared" si="1"/>
        <v>361858520</v>
      </c>
      <c r="AF92" s="68" t="s">
        <v>357</v>
      </c>
      <c r="AG92" s="71"/>
    </row>
    <row r="93" spans="1:33" ht="41.4" x14ac:dyDescent="0.3">
      <c r="A93" s="148"/>
      <c r="B93" s="149">
        <v>0</v>
      </c>
      <c r="C93" s="148"/>
      <c r="D93" s="149">
        <v>0</v>
      </c>
      <c r="E93" s="75">
        <v>0</v>
      </c>
      <c r="F93" s="75">
        <v>2.1739999999999999</v>
      </c>
      <c r="G93" s="75">
        <v>2.0880000000000001</v>
      </c>
      <c r="H93" s="75">
        <v>0</v>
      </c>
      <c r="I93" s="75">
        <v>1.0649999999999999</v>
      </c>
      <c r="J93" s="8">
        <v>51030010020</v>
      </c>
      <c r="K93" s="19" t="s">
        <v>270</v>
      </c>
      <c r="L93" s="19" t="s">
        <v>271</v>
      </c>
      <c r="M93" s="3" t="s">
        <v>107</v>
      </c>
      <c r="N93" s="22" t="s">
        <v>373</v>
      </c>
      <c r="O93" s="73" t="s">
        <v>381</v>
      </c>
      <c r="P93" s="22" t="s">
        <v>475</v>
      </c>
      <c r="Q93" s="22" t="s">
        <v>373</v>
      </c>
      <c r="R93" s="22">
        <v>8</v>
      </c>
      <c r="S93" s="21">
        <v>35</v>
      </c>
      <c r="T93" s="22">
        <v>13</v>
      </c>
      <c r="U93" s="21">
        <v>0</v>
      </c>
      <c r="V93" s="21">
        <v>3</v>
      </c>
      <c r="W93" s="21">
        <v>0</v>
      </c>
      <c r="X93" s="21">
        <v>1</v>
      </c>
      <c r="Y93" s="94">
        <v>3</v>
      </c>
      <c r="Z93" s="116">
        <v>0</v>
      </c>
      <c r="AA93" s="87">
        <v>0</v>
      </c>
      <c r="AB93" s="29">
        <v>100000000</v>
      </c>
      <c r="AC93" s="29">
        <v>136900000</v>
      </c>
      <c r="AD93" s="29">
        <v>0</v>
      </c>
      <c r="AE93" s="29">
        <f t="shared" si="1"/>
        <v>236900000</v>
      </c>
      <c r="AF93" s="68" t="s">
        <v>357</v>
      </c>
      <c r="AG93" s="71"/>
    </row>
    <row r="94" spans="1:33" ht="55.2" x14ac:dyDescent="0.3">
      <c r="A94" s="148"/>
      <c r="B94" s="149">
        <v>0</v>
      </c>
      <c r="C94" s="148"/>
      <c r="D94" s="149">
        <v>0</v>
      </c>
      <c r="E94" s="75">
        <v>0</v>
      </c>
      <c r="F94" s="75">
        <v>2.1739999999999999</v>
      </c>
      <c r="G94" s="75">
        <v>2.085</v>
      </c>
      <c r="H94" s="75">
        <v>2.117</v>
      </c>
      <c r="I94" s="75">
        <v>1.5939999999999999</v>
      </c>
      <c r="J94" s="8">
        <v>51030010021</v>
      </c>
      <c r="K94" s="19" t="s">
        <v>1762</v>
      </c>
      <c r="L94" s="19" t="s">
        <v>272</v>
      </c>
      <c r="M94" s="3" t="s">
        <v>144</v>
      </c>
      <c r="N94" s="22" t="s">
        <v>373</v>
      </c>
      <c r="O94" s="73" t="s">
        <v>381</v>
      </c>
      <c r="P94" s="22" t="s">
        <v>476</v>
      </c>
      <c r="Q94" s="22" t="s">
        <v>373</v>
      </c>
      <c r="R94" s="22">
        <v>8</v>
      </c>
      <c r="S94" s="21">
        <v>35</v>
      </c>
      <c r="T94" s="22">
        <v>13</v>
      </c>
      <c r="U94" s="21">
        <v>0</v>
      </c>
      <c r="V94" s="21">
        <v>4</v>
      </c>
      <c r="W94" s="21">
        <v>0</v>
      </c>
      <c r="X94" s="21">
        <v>4</v>
      </c>
      <c r="Y94" s="94">
        <v>4</v>
      </c>
      <c r="Z94" s="116">
        <v>4</v>
      </c>
      <c r="AA94" s="87">
        <v>0</v>
      </c>
      <c r="AB94" s="29">
        <v>100000000</v>
      </c>
      <c r="AC94" s="29">
        <v>203000000</v>
      </c>
      <c r="AD94" s="29">
        <v>80000000</v>
      </c>
      <c r="AE94" s="29">
        <f t="shared" si="1"/>
        <v>383000000</v>
      </c>
      <c r="AF94" s="68" t="s">
        <v>357</v>
      </c>
      <c r="AG94" s="71"/>
    </row>
    <row r="95" spans="1:33" ht="41.4" x14ac:dyDescent="0.3">
      <c r="A95" s="148"/>
      <c r="B95" s="149">
        <v>0</v>
      </c>
      <c r="C95" s="148"/>
      <c r="D95" s="149">
        <v>0</v>
      </c>
      <c r="E95" s="75">
        <v>0</v>
      </c>
      <c r="F95" s="75">
        <v>3.052</v>
      </c>
      <c r="G95" s="75">
        <v>2.0270000000000001</v>
      </c>
      <c r="H95" s="75">
        <v>2.0510000000000002</v>
      </c>
      <c r="I95" s="75">
        <v>1.7829999999999999</v>
      </c>
      <c r="J95" s="8">
        <v>51030010022</v>
      </c>
      <c r="K95" s="19" t="s">
        <v>273</v>
      </c>
      <c r="L95" s="19" t="s">
        <v>274</v>
      </c>
      <c r="M95" s="3" t="s">
        <v>107</v>
      </c>
      <c r="N95" s="22" t="s">
        <v>373</v>
      </c>
      <c r="O95" s="73" t="s">
        <v>381</v>
      </c>
      <c r="P95" s="22" t="s">
        <v>477</v>
      </c>
      <c r="Q95" s="22" t="s">
        <v>373</v>
      </c>
      <c r="R95" s="22">
        <v>8</v>
      </c>
      <c r="S95" s="21">
        <v>35</v>
      </c>
      <c r="T95" s="22">
        <v>13</v>
      </c>
      <c r="U95" s="21">
        <v>0</v>
      </c>
      <c r="V95" s="21">
        <v>3</v>
      </c>
      <c r="W95" s="21">
        <v>0</v>
      </c>
      <c r="X95" s="21">
        <v>1</v>
      </c>
      <c r="Y95" s="94">
        <v>2</v>
      </c>
      <c r="Z95" s="116">
        <v>3</v>
      </c>
      <c r="AA95" s="87">
        <v>0</v>
      </c>
      <c r="AB95" s="29">
        <v>30000000</v>
      </c>
      <c r="AC95" s="29">
        <v>40000000</v>
      </c>
      <c r="AD95" s="29">
        <v>20000000</v>
      </c>
      <c r="AE95" s="29">
        <f t="shared" si="1"/>
        <v>90000000</v>
      </c>
      <c r="AF95" s="68" t="s">
        <v>357</v>
      </c>
      <c r="AG95" s="71"/>
    </row>
    <row r="96" spans="1:33" ht="55.2" x14ac:dyDescent="0.3">
      <c r="A96" s="148"/>
      <c r="B96" s="149">
        <v>0</v>
      </c>
      <c r="C96" s="148"/>
      <c r="D96" s="149">
        <v>0</v>
      </c>
      <c r="E96" s="75">
        <v>0</v>
      </c>
      <c r="F96" s="75">
        <f>11.162+4.166</f>
        <v>15.328000000000001</v>
      </c>
      <c r="G96" s="75">
        <v>11.205</v>
      </c>
      <c r="H96" s="75">
        <f>9.929+3.514+5</f>
        <v>18.442999999999998</v>
      </c>
      <c r="I96" s="75">
        <v>8.0739999999999998</v>
      </c>
      <c r="J96" s="8">
        <v>51030010023</v>
      </c>
      <c r="K96" s="19" t="s">
        <v>275</v>
      </c>
      <c r="L96" s="19" t="s">
        <v>276</v>
      </c>
      <c r="M96" s="3" t="s">
        <v>107</v>
      </c>
      <c r="N96" s="22" t="s">
        <v>373</v>
      </c>
      <c r="O96" s="73" t="s">
        <v>381</v>
      </c>
      <c r="P96" s="22" t="s">
        <v>478</v>
      </c>
      <c r="Q96" s="22" t="s">
        <v>373</v>
      </c>
      <c r="R96" s="22">
        <v>11</v>
      </c>
      <c r="S96" s="21">
        <v>33</v>
      </c>
      <c r="T96" s="22">
        <v>6</v>
      </c>
      <c r="U96" s="21">
        <v>1</v>
      </c>
      <c r="V96" s="21">
        <v>1</v>
      </c>
      <c r="W96" s="21">
        <v>0</v>
      </c>
      <c r="X96" s="21">
        <v>1</v>
      </c>
      <c r="Y96" s="94">
        <v>1</v>
      </c>
      <c r="Z96" s="116">
        <v>1</v>
      </c>
      <c r="AA96" s="87">
        <v>0</v>
      </c>
      <c r="AB96" s="29">
        <v>13039313748</v>
      </c>
      <c r="AC96" s="29">
        <v>12732761998</v>
      </c>
      <c r="AD96" s="29">
        <v>11776889265</v>
      </c>
      <c r="AE96" s="29">
        <f t="shared" si="1"/>
        <v>37548965011</v>
      </c>
      <c r="AF96" s="68" t="s">
        <v>359</v>
      </c>
      <c r="AG96" s="71"/>
    </row>
    <row r="97" spans="1:33" ht="55.2" x14ac:dyDescent="0.3">
      <c r="A97" s="148"/>
      <c r="B97" s="149">
        <v>0</v>
      </c>
      <c r="C97" s="148"/>
      <c r="D97" s="149">
        <v>0</v>
      </c>
      <c r="E97" s="75">
        <v>0</v>
      </c>
      <c r="F97" s="75">
        <v>3.1739999999999999</v>
      </c>
      <c r="G97" s="75">
        <v>2.085</v>
      </c>
      <c r="H97" s="75">
        <v>2.1080000000000001</v>
      </c>
      <c r="I97" s="75">
        <v>1.8419999999999999</v>
      </c>
      <c r="J97" s="8">
        <v>51030010024</v>
      </c>
      <c r="K97" s="19" t="s">
        <v>277</v>
      </c>
      <c r="L97" s="19" t="s">
        <v>278</v>
      </c>
      <c r="M97" s="3" t="s">
        <v>144</v>
      </c>
      <c r="N97" s="22" t="s">
        <v>373</v>
      </c>
      <c r="O97" s="73" t="s">
        <v>381</v>
      </c>
      <c r="P97" s="22" t="s">
        <v>479</v>
      </c>
      <c r="Q97" s="22" t="s">
        <v>373</v>
      </c>
      <c r="R97" s="22">
        <v>8</v>
      </c>
      <c r="S97" s="21">
        <v>35</v>
      </c>
      <c r="T97" s="22">
        <v>13</v>
      </c>
      <c r="U97" s="21">
        <v>0</v>
      </c>
      <c r="V97" s="21">
        <v>1</v>
      </c>
      <c r="W97" s="21">
        <v>0</v>
      </c>
      <c r="X97" s="21">
        <v>1</v>
      </c>
      <c r="Y97" s="94">
        <v>1</v>
      </c>
      <c r="Z97" s="116">
        <v>1</v>
      </c>
      <c r="AA97" s="87">
        <v>0</v>
      </c>
      <c r="AB97" s="29">
        <v>100000000</v>
      </c>
      <c r="AC97" s="29">
        <v>100000000</v>
      </c>
      <c r="AD97" s="29">
        <v>100000000</v>
      </c>
      <c r="AE97" s="29">
        <f t="shared" si="1"/>
        <v>300000000</v>
      </c>
      <c r="AF97" s="68" t="s">
        <v>357</v>
      </c>
      <c r="AG97" s="71"/>
    </row>
    <row r="98" spans="1:33" ht="55.2" x14ac:dyDescent="0.3">
      <c r="A98" s="148"/>
      <c r="B98" s="149">
        <v>0</v>
      </c>
      <c r="C98" s="148"/>
      <c r="D98" s="149">
        <v>0</v>
      </c>
      <c r="E98" s="75">
        <v>0</v>
      </c>
      <c r="F98" s="75">
        <v>0</v>
      </c>
      <c r="G98" s="75">
        <v>2.0430000000000001</v>
      </c>
      <c r="H98" s="75">
        <v>2.0720000000000001</v>
      </c>
      <c r="I98" s="75">
        <v>1.0290000000000001</v>
      </c>
      <c r="J98" s="8">
        <v>51030010025</v>
      </c>
      <c r="K98" s="19" t="s">
        <v>279</v>
      </c>
      <c r="L98" s="19" t="s">
        <v>280</v>
      </c>
      <c r="M98" s="3" t="s">
        <v>144</v>
      </c>
      <c r="N98" s="22" t="s">
        <v>373</v>
      </c>
      <c r="O98" s="73" t="s">
        <v>381</v>
      </c>
      <c r="P98" s="22" t="s">
        <v>480</v>
      </c>
      <c r="Q98" s="22" t="s">
        <v>373</v>
      </c>
      <c r="R98" s="22">
        <v>8</v>
      </c>
      <c r="S98" s="21">
        <v>35</v>
      </c>
      <c r="T98" s="22">
        <v>13</v>
      </c>
      <c r="U98" s="21">
        <v>0</v>
      </c>
      <c r="V98" s="21">
        <v>1</v>
      </c>
      <c r="W98" s="21">
        <v>0</v>
      </c>
      <c r="X98" s="21">
        <v>0</v>
      </c>
      <c r="Y98" s="94">
        <v>1</v>
      </c>
      <c r="Z98" s="116">
        <v>1</v>
      </c>
      <c r="AA98" s="87">
        <v>0</v>
      </c>
      <c r="AB98" s="29">
        <v>0</v>
      </c>
      <c r="AC98" s="29">
        <v>50000000</v>
      </c>
      <c r="AD98" s="29">
        <v>50000000</v>
      </c>
      <c r="AE98" s="29">
        <f t="shared" si="1"/>
        <v>100000000</v>
      </c>
      <c r="AF98" s="68" t="s">
        <v>357</v>
      </c>
      <c r="AG98" s="71"/>
    </row>
    <row r="99" spans="1:33" x14ac:dyDescent="0.3">
      <c r="A99" s="24"/>
      <c r="B99" s="25"/>
      <c r="C99" s="24"/>
      <c r="D99" s="25"/>
      <c r="E99" s="35"/>
      <c r="F99" s="35"/>
      <c r="G99" s="35"/>
      <c r="H99" s="35"/>
      <c r="I99" s="35"/>
      <c r="J99" s="27"/>
      <c r="K99" s="28"/>
      <c r="L99" s="28"/>
      <c r="M99" s="32"/>
      <c r="N99" s="41"/>
      <c r="O99" s="24"/>
      <c r="P99" s="41"/>
      <c r="Q99" s="41"/>
      <c r="R99" s="41"/>
      <c r="S99" s="52"/>
      <c r="T99" s="41"/>
      <c r="U99" s="52"/>
      <c r="V99" s="52"/>
      <c r="W99" s="52"/>
      <c r="X99" s="52"/>
      <c r="Y99" s="52"/>
      <c r="Z99" s="55"/>
      <c r="AA99" s="53"/>
      <c r="AB99" s="53"/>
      <c r="AC99" s="53"/>
      <c r="AD99" s="29"/>
      <c r="AE99" s="53"/>
      <c r="AF99" s="69"/>
      <c r="AG99" s="71"/>
    </row>
    <row r="100" spans="1:33" ht="96.6" x14ac:dyDescent="0.3">
      <c r="A100" s="148" t="s">
        <v>347</v>
      </c>
      <c r="B100" s="149">
        <v>16.445</v>
      </c>
      <c r="C100" s="148" t="s">
        <v>348</v>
      </c>
      <c r="D100" s="149">
        <v>39.463000000000001</v>
      </c>
      <c r="E100" s="75">
        <v>42.614000000000004</v>
      </c>
      <c r="F100" s="75">
        <v>42.037999999999997</v>
      </c>
      <c r="G100" s="75">
        <f>41.43-2</f>
        <v>39.43</v>
      </c>
      <c r="H100" s="75">
        <v>43.878</v>
      </c>
      <c r="I100" s="75">
        <v>42.491</v>
      </c>
      <c r="J100" s="8">
        <v>51040010001</v>
      </c>
      <c r="K100" s="19" t="s">
        <v>281</v>
      </c>
      <c r="L100" s="19" t="s">
        <v>282</v>
      </c>
      <c r="M100" s="3" t="s">
        <v>107</v>
      </c>
      <c r="N100" s="22" t="s">
        <v>373</v>
      </c>
      <c r="O100" s="73" t="s">
        <v>381</v>
      </c>
      <c r="P100" s="22" t="s">
        <v>481</v>
      </c>
      <c r="Q100" s="22" t="s">
        <v>373</v>
      </c>
      <c r="R100" s="22">
        <v>10</v>
      </c>
      <c r="S100" s="21">
        <v>36</v>
      </c>
      <c r="T100" s="22">
        <v>13</v>
      </c>
      <c r="U100" s="21">
        <v>32314</v>
      </c>
      <c r="V100" s="21">
        <v>40314</v>
      </c>
      <c r="W100" s="21">
        <v>33764</v>
      </c>
      <c r="X100" s="21">
        <v>35238</v>
      </c>
      <c r="Y100" s="94">
        <v>36653</v>
      </c>
      <c r="Z100" s="116">
        <v>40314</v>
      </c>
      <c r="AA100" s="87">
        <v>2323561546</v>
      </c>
      <c r="AB100" s="29">
        <v>2809002673</v>
      </c>
      <c r="AC100" s="29">
        <v>4069695208</v>
      </c>
      <c r="AD100" s="29">
        <v>1369761000</v>
      </c>
      <c r="AE100" s="29">
        <f t="shared" si="1"/>
        <v>10572020427</v>
      </c>
      <c r="AF100" s="68" t="s">
        <v>364</v>
      </c>
      <c r="AG100" s="71"/>
    </row>
    <row r="101" spans="1:33" ht="41.4" x14ac:dyDescent="0.3">
      <c r="A101" s="148"/>
      <c r="B101" s="149">
        <v>0</v>
      </c>
      <c r="C101" s="148"/>
      <c r="D101" s="149">
        <v>0</v>
      </c>
      <c r="E101" s="75">
        <v>21.163999999999998</v>
      </c>
      <c r="F101" s="75">
        <v>12.095000000000001</v>
      </c>
      <c r="G101" s="75">
        <f>12.138-2</f>
        <v>10.138</v>
      </c>
      <c r="H101" s="75">
        <v>14.540000000000001</v>
      </c>
      <c r="I101" s="75">
        <v>14.984</v>
      </c>
      <c r="J101" s="8">
        <v>51040010002</v>
      </c>
      <c r="K101" s="19" t="s">
        <v>283</v>
      </c>
      <c r="L101" s="19" t="s">
        <v>284</v>
      </c>
      <c r="M101" s="3" t="s">
        <v>107</v>
      </c>
      <c r="N101" s="22" t="s">
        <v>373</v>
      </c>
      <c r="O101" s="73" t="s">
        <v>381</v>
      </c>
      <c r="P101" s="22" t="s">
        <v>482</v>
      </c>
      <c r="Q101" s="22" t="s">
        <v>373</v>
      </c>
      <c r="R101" s="22">
        <v>10</v>
      </c>
      <c r="S101" s="21">
        <v>35</v>
      </c>
      <c r="T101" s="22">
        <v>13</v>
      </c>
      <c r="U101" s="21">
        <v>1040</v>
      </c>
      <c r="V101" s="21">
        <v>2040</v>
      </c>
      <c r="W101" s="21">
        <v>1290</v>
      </c>
      <c r="X101" s="21">
        <v>1313</v>
      </c>
      <c r="Y101" s="94">
        <v>1796</v>
      </c>
      <c r="Z101" s="116">
        <v>2040</v>
      </c>
      <c r="AA101" s="87">
        <v>89000000</v>
      </c>
      <c r="AB101" s="29">
        <v>100000000</v>
      </c>
      <c r="AC101" s="29">
        <v>140000000</v>
      </c>
      <c r="AD101" s="29">
        <v>186583000</v>
      </c>
      <c r="AE101" s="29">
        <f t="shared" si="1"/>
        <v>515583000</v>
      </c>
      <c r="AF101" s="68" t="s">
        <v>357</v>
      </c>
      <c r="AG101" s="71"/>
    </row>
    <row r="102" spans="1:33" ht="69" x14ac:dyDescent="0.3">
      <c r="A102" s="148"/>
      <c r="B102" s="149">
        <v>0</v>
      </c>
      <c r="C102" s="148"/>
      <c r="D102" s="149">
        <v>0</v>
      </c>
      <c r="E102" s="75">
        <v>36.222000000000001</v>
      </c>
      <c r="F102" s="75">
        <v>19.212</v>
      </c>
      <c r="G102" s="75">
        <v>19.928000000000001</v>
      </c>
      <c r="H102" s="75">
        <v>16.998999999999999</v>
      </c>
      <c r="I102" s="75">
        <v>23.09</v>
      </c>
      <c r="J102" s="8">
        <v>51040010003</v>
      </c>
      <c r="K102" s="19" t="s">
        <v>1763</v>
      </c>
      <c r="L102" s="19" t="s">
        <v>285</v>
      </c>
      <c r="M102" s="3" t="s">
        <v>107</v>
      </c>
      <c r="N102" s="22" t="s">
        <v>373</v>
      </c>
      <c r="O102" s="73" t="s">
        <v>381</v>
      </c>
      <c r="P102" s="22" t="s">
        <v>1764</v>
      </c>
      <c r="Q102" s="22" t="s">
        <v>373</v>
      </c>
      <c r="R102" s="22">
        <v>5</v>
      </c>
      <c r="S102" s="21">
        <v>45</v>
      </c>
      <c r="T102" s="22">
        <v>14</v>
      </c>
      <c r="U102" s="21">
        <v>0</v>
      </c>
      <c r="V102" s="21">
        <v>60</v>
      </c>
      <c r="W102" s="21">
        <v>12</v>
      </c>
      <c r="X102" s="21">
        <v>30</v>
      </c>
      <c r="Y102" s="94">
        <v>44</v>
      </c>
      <c r="Z102" s="116">
        <v>60</v>
      </c>
      <c r="AA102" s="87">
        <v>400000000</v>
      </c>
      <c r="AB102" s="29">
        <v>670665536</v>
      </c>
      <c r="AC102" s="29">
        <v>450000000</v>
      </c>
      <c r="AD102" s="29">
        <v>432494247</v>
      </c>
      <c r="AE102" s="29">
        <f t="shared" si="1"/>
        <v>1953159783</v>
      </c>
      <c r="AF102" s="68" t="s">
        <v>370</v>
      </c>
      <c r="AG102" s="71"/>
    </row>
    <row r="103" spans="1:33" ht="82.8" x14ac:dyDescent="0.3">
      <c r="A103" s="148"/>
      <c r="B103" s="149">
        <v>0</v>
      </c>
      <c r="C103" s="148"/>
      <c r="D103" s="149">
        <v>0</v>
      </c>
      <c r="E103" s="75">
        <v>0</v>
      </c>
      <c r="F103" s="75">
        <v>5.9429999999999996</v>
      </c>
      <c r="G103" s="75">
        <f>5.934+3+2</f>
        <v>10.934000000000001</v>
      </c>
      <c r="H103" s="75">
        <v>7.0389999999999997</v>
      </c>
      <c r="I103" s="75">
        <v>4.7290000000000001</v>
      </c>
      <c r="J103" s="8">
        <v>51040010004</v>
      </c>
      <c r="K103" s="19" t="s">
        <v>286</v>
      </c>
      <c r="L103" s="19" t="s">
        <v>287</v>
      </c>
      <c r="M103" s="3" t="s">
        <v>107</v>
      </c>
      <c r="N103" s="22" t="s">
        <v>373</v>
      </c>
      <c r="O103" s="73" t="s">
        <v>483</v>
      </c>
      <c r="P103" s="22" t="s">
        <v>484</v>
      </c>
      <c r="Q103" s="22" t="s">
        <v>373</v>
      </c>
      <c r="R103" s="22">
        <v>8</v>
      </c>
      <c r="S103" s="21">
        <v>36</v>
      </c>
      <c r="T103" s="22">
        <v>13</v>
      </c>
      <c r="U103" s="21">
        <v>10686</v>
      </c>
      <c r="V103" s="21">
        <v>21186</v>
      </c>
      <c r="W103" s="21">
        <v>0</v>
      </c>
      <c r="X103" s="21">
        <v>13536</v>
      </c>
      <c r="Y103" s="94">
        <v>12336</v>
      </c>
      <c r="Z103" s="116">
        <v>21186</v>
      </c>
      <c r="AA103" s="87">
        <v>0</v>
      </c>
      <c r="AB103" s="29">
        <v>245000000</v>
      </c>
      <c r="AC103" s="29">
        <v>208780000</v>
      </c>
      <c r="AD103" s="29">
        <v>102880000</v>
      </c>
      <c r="AE103" s="29">
        <f t="shared" si="1"/>
        <v>556660000</v>
      </c>
      <c r="AF103" s="68" t="s">
        <v>364</v>
      </c>
      <c r="AG103" s="71"/>
    </row>
    <row r="104" spans="1:33" ht="55.2" x14ac:dyDescent="0.3">
      <c r="A104" s="148"/>
      <c r="B104" s="149">
        <v>0</v>
      </c>
      <c r="C104" s="148"/>
      <c r="D104" s="149">
        <v>0</v>
      </c>
      <c r="E104" s="75">
        <v>0</v>
      </c>
      <c r="F104" s="75">
        <v>20.712</v>
      </c>
      <c r="G104" s="75">
        <f>20.57-3+2</f>
        <v>19.57</v>
      </c>
      <c r="H104" s="75">
        <v>17.544</v>
      </c>
      <c r="I104" s="75">
        <v>14.706</v>
      </c>
      <c r="J104" s="8">
        <v>51040010005</v>
      </c>
      <c r="K104" s="19" t="s">
        <v>288</v>
      </c>
      <c r="L104" s="19" t="s">
        <v>289</v>
      </c>
      <c r="M104" s="3" t="s">
        <v>107</v>
      </c>
      <c r="N104" s="22" t="s">
        <v>373</v>
      </c>
      <c r="O104" s="73" t="s">
        <v>381</v>
      </c>
      <c r="P104" s="22" t="s">
        <v>485</v>
      </c>
      <c r="Q104" s="22" t="s">
        <v>373</v>
      </c>
      <c r="R104" s="22">
        <v>10</v>
      </c>
      <c r="S104" s="21">
        <v>36</v>
      </c>
      <c r="T104" s="22">
        <v>13</v>
      </c>
      <c r="U104" s="21">
        <v>0</v>
      </c>
      <c r="V104" s="21">
        <v>800</v>
      </c>
      <c r="W104" s="21">
        <v>0</v>
      </c>
      <c r="X104" s="21">
        <v>160</v>
      </c>
      <c r="Y104" s="94">
        <v>415</v>
      </c>
      <c r="Z104" s="116">
        <v>800</v>
      </c>
      <c r="AA104" s="87">
        <v>0</v>
      </c>
      <c r="AB104" s="29">
        <v>350000000</v>
      </c>
      <c r="AC104" s="29">
        <v>474577700</v>
      </c>
      <c r="AD104" s="53">
        <v>315000000</v>
      </c>
      <c r="AE104" s="29">
        <f t="shared" si="1"/>
        <v>1139577700</v>
      </c>
      <c r="AF104" s="68" t="s">
        <v>364</v>
      </c>
      <c r="AG104" s="71"/>
    </row>
    <row r="105" spans="1:33" ht="102" customHeight="1" x14ac:dyDescent="0.3">
      <c r="A105" s="148"/>
      <c r="B105" s="149">
        <v>0</v>
      </c>
      <c r="C105" s="148" t="s">
        <v>349</v>
      </c>
      <c r="D105" s="149">
        <v>60.536999999999999</v>
      </c>
      <c r="E105" s="75">
        <v>43.957000000000001</v>
      </c>
      <c r="F105" s="75">
        <f>24.567+10</f>
        <v>34.567</v>
      </c>
      <c r="G105" s="74">
        <f>28.186+9.339-3.5</f>
        <v>34.024999999999999</v>
      </c>
      <c r="H105" s="75">
        <f>28.789+3+20</f>
        <v>51.789000000000001</v>
      </c>
      <c r="I105" s="75">
        <v>31.374999999999996</v>
      </c>
      <c r="J105" s="8">
        <v>51040020001</v>
      </c>
      <c r="K105" s="19" t="s">
        <v>290</v>
      </c>
      <c r="L105" s="19" t="s">
        <v>291</v>
      </c>
      <c r="M105" s="3" t="s">
        <v>107</v>
      </c>
      <c r="N105" s="22" t="s">
        <v>373</v>
      </c>
      <c r="O105" s="73" t="s">
        <v>486</v>
      </c>
      <c r="P105" s="22" t="s">
        <v>487</v>
      </c>
      <c r="Q105" s="22" t="s">
        <v>373</v>
      </c>
      <c r="R105" s="22">
        <v>8</v>
      </c>
      <c r="S105" s="21">
        <v>35</v>
      </c>
      <c r="T105" s="22">
        <v>13</v>
      </c>
      <c r="U105" s="21">
        <v>0</v>
      </c>
      <c r="V105" s="21">
        <v>9000</v>
      </c>
      <c r="W105" s="21">
        <v>1280</v>
      </c>
      <c r="X105" s="21">
        <v>3670</v>
      </c>
      <c r="Y105" s="94">
        <v>4810</v>
      </c>
      <c r="Z105" s="116">
        <v>9000</v>
      </c>
      <c r="AA105" s="87">
        <v>3363496146</v>
      </c>
      <c r="AB105" s="29">
        <v>9036552724</v>
      </c>
      <c r="AC105" s="29">
        <v>16382608781</v>
      </c>
      <c r="AD105" s="29">
        <v>13951880120</v>
      </c>
      <c r="AE105" s="29">
        <f t="shared" si="1"/>
        <v>42734537771</v>
      </c>
      <c r="AF105" s="68" t="s">
        <v>364</v>
      </c>
      <c r="AG105" s="71"/>
    </row>
    <row r="106" spans="1:33" ht="55.2" x14ac:dyDescent="0.3">
      <c r="A106" s="148"/>
      <c r="B106" s="149">
        <v>0</v>
      </c>
      <c r="C106" s="148"/>
      <c r="D106" s="149">
        <v>0</v>
      </c>
      <c r="E106" s="75">
        <v>20.248999999999999</v>
      </c>
      <c r="F106" s="75">
        <v>13.013</v>
      </c>
      <c r="G106" s="74">
        <v>11.053000000000001</v>
      </c>
      <c r="H106" s="75">
        <f>11.334-1</f>
        <v>10.334</v>
      </c>
      <c r="I106" s="75">
        <v>13.911999999999999</v>
      </c>
      <c r="J106" s="8">
        <v>51040020002</v>
      </c>
      <c r="K106" s="19" t="s">
        <v>292</v>
      </c>
      <c r="L106" s="19" t="s">
        <v>293</v>
      </c>
      <c r="M106" s="3" t="s">
        <v>107</v>
      </c>
      <c r="N106" s="22" t="s">
        <v>373</v>
      </c>
      <c r="O106" s="73" t="s">
        <v>488</v>
      </c>
      <c r="P106" s="22" t="s">
        <v>489</v>
      </c>
      <c r="Q106" s="22" t="s">
        <v>373</v>
      </c>
      <c r="R106" s="22">
        <v>8</v>
      </c>
      <c r="S106" s="21">
        <v>43</v>
      </c>
      <c r="T106" s="22">
        <v>4</v>
      </c>
      <c r="U106" s="21">
        <v>619</v>
      </c>
      <c r="V106" s="21">
        <v>1119</v>
      </c>
      <c r="W106" s="21">
        <v>744</v>
      </c>
      <c r="X106" s="21">
        <v>959</v>
      </c>
      <c r="Y106" s="94">
        <v>1022</v>
      </c>
      <c r="Z106" s="116">
        <v>1119</v>
      </c>
      <c r="AA106" s="87">
        <v>183320960</v>
      </c>
      <c r="AB106" s="29">
        <v>219351025</v>
      </c>
      <c r="AC106" s="29">
        <v>249967040</v>
      </c>
      <c r="AD106" s="29">
        <v>245830000</v>
      </c>
      <c r="AE106" s="29">
        <f t="shared" si="1"/>
        <v>898469025</v>
      </c>
      <c r="AF106" s="68" t="s">
        <v>369</v>
      </c>
      <c r="AG106" s="71"/>
    </row>
    <row r="107" spans="1:33" ht="69" x14ac:dyDescent="0.3">
      <c r="A107" s="148"/>
      <c r="B107" s="149">
        <v>0</v>
      </c>
      <c r="C107" s="148"/>
      <c r="D107" s="149">
        <v>0</v>
      </c>
      <c r="E107" s="75">
        <v>35.793999999999997</v>
      </c>
      <c r="F107" s="75">
        <f>34.344-10-8</f>
        <v>16.344000000000001</v>
      </c>
      <c r="G107" s="74">
        <f>28.693-5-5</f>
        <v>18.693000000000001</v>
      </c>
      <c r="H107" s="75">
        <f>29.303+3-20-2</f>
        <v>10.302999999999997</v>
      </c>
      <c r="I107" s="75">
        <v>32.033999999999999</v>
      </c>
      <c r="J107" s="8">
        <v>51040020003</v>
      </c>
      <c r="K107" s="19" t="s">
        <v>294</v>
      </c>
      <c r="L107" s="19" t="s">
        <v>295</v>
      </c>
      <c r="M107" s="3" t="s">
        <v>107</v>
      </c>
      <c r="N107" s="22" t="s">
        <v>373</v>
      </c>
      <c r="O107" s="73" t="s">
        <v>381</v>
      </c>
      <c r="P107" s="22" t="s">
        <v>490</v>
      </c>
      <c r="Q107" s="22" t="s">
        <v>373</v>
      </c>
      <c r="R107" s="22">
        <v>8</v>
      </c>
      <c r="S107" s="21">
        <v>35</v>
      </c>
      <c r="T107" s="22">
        <v>13</v>
      </c>
      <c r="U107" s="21">
        <v>1</v>
      </c>
      <c r="V107" s="21">
        <v>11</v>
      </c>
      <c r="W107" s="21">
        <v>3</v>
      </c>
      <c r="X107" s="21">
        <v>6</v>
      </c>
      <c r="Y107" s="94">
        <v>8</v>
      </c>
      <c r="Z107" s="116">
        <v>11</v>
      </c>
      <c r="AA107" s="87">
        <v>767746463</v>
      </c>
      <c r="AB107" s="29">
        <v>200000000</v>
      </c>
      <c r="AC107" s="29">
        <v>700000000</v>
      </c>
      <c r="AD107" s="29">
        <v>208844000</v>
      </c>
      <c r="AE107" s="29">
        <f t="shared" si="1"/>
        <v>1876590463</v>
      </c>
      <c r="AF107" s="68" t="s">
        <v>364</v>
      </c>
      <c r="AG107" s="71"/>
    </row>
    <row r="108" spans="1:33" ht="69" x14ac:dyDescent="0.3">
      <c r="A108" s="148"/>
      <c r="B108" s="149">
        <v>0</v>
      </c>
      <c r="C108" s="148"/>
      <c r="D108" s="149">
        <v>0</v>
      </c>
      <c r="E108" s="75">
        <v>0</v>
      </c>
      <c r="F108" s="75">
        <v>8.7010000000000005</v>
      </c>
      <c r="G108" s="74">
        <f>9.339-9.339</f>
        <v>0</v>
      </c>
      <c r="H108" s="75">
        <f>9.408+2-6-2</f>
        <v>3.4079999999999995</v>
      </c>
      <c r="I108" s="75">
        <v>6.8620000000000001</v>
      </c>
      <c r="J108" s="8">
        <v>51040020004</v>
      </c>
      <c r="K108" s="19" t="s">
        <v>296</v>
      </c>
      <c r="L108" s="19" t="s">
        <v>297</v>
      </c>
      <c r="M108" s="3" t="s">
        <v>107</v>
      </c>
      <c r="N108" s="22" t="s">
        <v>373</v>
      </c>
      <c r="O108" s="73" t="s">
        <v>381</v>
      </c>
      <c r="P108" s="22" t="s">
        <v>491</v>
      </c>
      <c r="Q108" s="22" t="s">
        <v>373</v>
      </c>
      <c r="R108" s="22">
        <v>8</v>
      </c>
      <c r="S108" s="21">
        <v>35</v>
      </c>
      <c r="T108" s="22">
        <v>1</v>
      </c>
      <c r="U108" s="21">
        <v>0</v>
      </c>
      <c r="V108" s="21">
        <v>300</v>
      </c>
      <c r="W108" s="21">
        <v>0</v>
      </c>
      <c r="X108" s="21">
        <v>100</v>
      </c>
      <c r="Y108" s="94">
        <v>0</v>
      </c>
      <c r="Z108" s="116">
        <v>300</v>
      </c>
      <c r="AA108" s="87">
        <v>0</v>
      </c>
      <c r="AB108" s="29">
        <v>200000000</v>
      </c>
      <c r="AC108" s="29">
        <v>0</v>
      </c>
      <c r="AD108" s="29">
        <v>21440000</v>
      </c>
      <c r="AE108" s="29">
        <f t="shared" si="1"/>
        <v>221440000</v>
      </c>
      <c r="AF108" s="68" t="s">
        <v>364</v>
      </c>
      <c r="AG108" s="71"/>
    </row>
    <row r="109" spans="1:33" ht="55.2" x14ac:dyDescent="0.3">
      <c r="A109" s="148"/>
      <c r="B109" s="149">
        <v>0</v>
      </c>
      <c r="C109" s="148"/>
      <c r="D109" s="149">
        <v>0</v>
      </c>
      <c r="E109" s="75">
        <v>0</v>
      </c>
      <c r="F109" s="75">
        <f>9.441+8</f>
        <v>17.441000000000003</v>
      </c>
      <c r="G109" s="74">
        <f>10.207+1.736</f>
        <v>11.943000000000001</v>
      </c>
      <c r="H109" s="75">
        <f>10.289-3-3-2-2.289+6+2.289+1+2+2</f>
        <v>13.289</v>
      </c>
      <c r="I109" s="75">
        <v>7.484</v>
      </c>
      <c r="J109" s="8">
        <v>51040020005</v>
      </c>
      <c r="K109" s="19" t="s">
        <v>298</v>
      </c>
      <c r="L109" s="19" t="s">
        <v>299</v>
      </c>
      <c r="M109" s="3" t="s">
        <v>107</v>
      </c>
      <c r="N109" s="22" t="s">
        <v>373</v>
      </c>
      <c r="O109" s="73" t="s">
        <v>381</v>
      </c>
      <c r="P109" s="22" t="s">
        <v>492</v>
      </c>
      <c r="Q109" s="22" t="s">
        <v>373</v>
      </c>
      <c r="R109" s="22">
        <v>8</v>
      </c>
      <c r="S109" s="21">
        <v>39</v>
      </c>
      <c r="T109" s="22">
        <v>13</v>
      </c>
      <c r="U109" s="21">
        <v>4</v>
      </c>
      <c r="V109" s="21">
        <v>17</v>
      </c>
      <c r="W109" s="21">
        <v>0</v>
      </c>
      <c r="X109" s="21">
        <v>16</v>
      </c>
      <c r="Y109" s="94">
        <v>17</v>
      </c>
      <c r="Z109" s="116">
        <v>19</v>
      </c>
      <c r="AA109" s="87">
        <v>0</v>
      </c>
      <c r="AB109" s="29">
        <v>611693731</v>
      </c>
      <c r="AC109" s="29">
        <v>400000000</v>
      </c>
      <c r="AD109" s="29">
        <v>477480000</v>
      </c>
      <c r="AE109" s="29">
        <f t="shared" si="1"/>
        <v>1489173731</v>
      </c>
      <c r="AF109" s="68" t="s">
        <v>364</v>
      </c>
      <c r="AG109" s="71"/>
    </row>
    <row r="110" spans="1:33" ht="69" x14ac:dyDescent="0.3">
      <c r="A110" s="148"/>
      <c r="B110" s="149">
        <v>0</v>
      </c>
      <c r="C110" s="148"/>
      <c r="D110" s="149">
        <v>0</v>
      </c>
      <c r="E110" s="75">
        <v>0</v>
      </c>
      <c r="F110" s="75">
        <v>9.9339999999999993</v>
      </c>
      <c r="G110" s="74">
        <f>10.786+5</f>
        <v>15.786</v>
      </c>
      <c r="H110" s="75">
        <f>10.877+2.289-2.289</f>
        <v>10.877000000000001</v>
      </c>
      <c r="I110" s="75">
        <v>7.8990000000000009</v>
      </c>
      <c r="J110" s="8">
        <v>51040020006</v>
      </c>
      <c r="K110" s="19" t="s">
        <v>300</v>
      </c>
      <c r="L110" s="19" t="s">
        <v>301</v>
      </c>
      <c r="M110" s="3" t="s">
        <v>107</v>
      </c>
      <c r="N110" s="22" t="s">
        <v>373</v>
      </c>
      <c r="O110" s="73" t="s">
        <v>381</v>
      </c>
      <c r="P110" s="22" t="s">
        <v>493</v>
      </c>
      <c r="Q110" s="22" t="s">
        <v>373</v>
      </c>
      <c r="R110" s="22">
        <v>8</v>
      </c>
      <c r="S110" s="21">
        <v>35</v>
      </c>
      <c r="T110" s="22">
        <v>13</v>
      </c>
      <c r="U110" s="21">
        <v>1000</v>
      </c>
      <c r="V110" s="21">
        <v>2200</v>
      </c>
      <c r="W110" s="21">
        <v>0</v>
      </c>
      <c r="X110" s="21">
        <v>1400</v>
      </c>
      <c r="Y110" s="94">
        <v>1215</v>
      </c>
      <c r="Z110" s="116">
        <v>2200</v>
      </c>
      <c r="AA110" s="87">
        <v>0</v>
      </c>
      <c r="AB110" s="29">
        <v>350000000</v>
      </c>
      <c r="AC110" s="29">
        <v>667500000</v>
      </c>
      <c r="AD110" s="29">
        <v>300000000</v>
      </c>
      <c r="AE110" s="29">
        <f t="shared" si="1"/>
        <v>1317500000</v>
      </c>
      <c r="AF110" s="68" t="s">
        <v>364</v>
      </c>
      <c r="AG110" s="71"/>
    </row>
    <row r="111" spans="1:33" ht="55.2" x14ac:dyDescent="0.3">
      <c r="A111" s="148"/>
      <c r="B111" s="149">
        <v>0</v>
      </c>
      <c r="C111" s="148"/>
      <c r="D111" s="149">
        <v>0</v>
      </c>
      <c r="E111" s="75">
        <v>0</v>
      </c>
      <c r="F111" s="75">
        <v>0</v>
      </c>
      <c r="G111" s="74">
        <f>1.736-1.736+5+3.5</f>
        <v>8.5</v>
      </c>
      <c r="H111" s="75">
        <f>0</f>
        <v>0</v>
      </c>
      <c r="I111" s="75">
        <v>0.434</v>
      </c>
      <c r="J111" s="8">
        <v>51040020007</v>
      </c>
      <c r="K111" s="19" t="s">
        <v>302</v>
      </c>
      <c r="L111" s="19" t="s">
        <v>303</v>
      </c>
      <c r="M111" s="3" t="s">
        <v>107</v>
      </c>
      <c r="N111" s="22" t="s">
        <v>373</v>
      </c>
      <c r="O111" s="73" t="s">
        <v>381</v>
      </c>
      <c r="P111" s="22" t="s">
        <v>494</v>
      </c>
      <c r="Q111" s="22" t="s">
        <v>373</v>
      </c>
      <c r="R111" s="22">
        <v>8</v>
      </c>
      <c r="S111" s="21">
        <v>36</v>
      </c>
      <c r="T111" s="22">
        <v>13</v>
      </c>
      <c r="U111" s="21">
        <v>0</v>
      </c>
      <c r="V111" s="21">
        <v>1</v>
      </c>
      <c r="W111" s="21">
        <v>0</v>
      </c>
      <c r="X111" s="21">
        <v>0</v>
      </c>
      <c r="Y111" s="94">
        <v>1</v>
      </c>
      <c r="Z111" s="116">
        <v>0</v>
      </c>
      <c r="AA111" s="87">
        <v>0</v>
      </c>
      <c r="AB111" s="29">
        <v>0</v>
      </c>
      <c r="AC111" s="29">
        <v>100000000</v>
      </c>
      <c r="AD111" s="29">
        <v>0</v>
      </c>
      <c r="AE111" s="29">
        <f t="shared" si="1"/>
        <v>100000000</v>
      </c>
      <c r="AF111" s="68" t="s">
        <v>364</v>
      </c>
      <c r="AG111" s="71"/>
    </row>
    <row r="112" spans="1:33" x14ac:dyDescent="0.3">
      <c r="A112" s="24"/>
      <c r="B112" s="25"/>
      <c r="C112" s="24"/>
      <c r="D112" s="25"/>
      <c r="E112" s="35"/>
      <c r="F112" s="35"/>
      <c r="G112" s="35"/>
      <c r="H112" s="35"/>
      <c r="I112" s="35"/>
      <c r="J112" s="27"/>
      <c r="K112" s="28"/>
      <c r="L112" s="28"/>
      <c r="M112" s="32"/>
      <c r="N112" s="41"/>
      <c r="O112" s="24"/>
      <c r="P112" s="41"/>
      <c r="Q112" s="41"/>
      <c r="R112" s="41"/>
      <c r="S112" s="52"/>
      <c r="T112" s="41"/>
      <c r="U112" s="52"/>
      <c r="V112" s="52"/>
      <c r="W112" s="52"/>
      <c r="X112" s="52"/>
      <c r="Y112" s="52"/>
      <c r="Z112" s="55"/>
      <c r="AA112" s="52"/>
      <c r="AB112" s="53"/>
      <c r="AC112" s="29"/>
      <c r="AD112" s="29"/>
      <c r="AE112" s="53"/>
      <c r="AF112" s="69"/>
      <c r="AG112" s="71"/>
    </row>
    <row r="113" spans="1:33" ht="51" customHeight="1" x14ac:dyDescent="0.3">
      <c r="A113" s="148" t="s">
        <v>350</v>
      </c>
      <c r="B113" s="149">
        <v>18.057000000000002</v>
      </c>
      <c r="C113" s="148" t="s">
        <v>351</v>
      </c>
      <c r="D113" s="149">
        <v>41.25</v>
      </c>
      <c r="E113" s="75">
        <v>0</v>
      </c>
      <c r="F113" s="75">
        <f>13.597-7-6.597</f>
        <v>0</v>
      </c>
      <c r="G113" s="74">
        <f>0+2+3+3.2</f>
        <v>8.1999999999999993</v>
      </c>
      <c r="H113" s="75">
        <f>0+4+4+1.5+2-4-1.5-4-2</f>
        <v>0</v>
      </c>
      <c r="I113" s="75">
        <v>3.399</v>
      </c>
      <c r="J113" s="8">
        <v>51050010001</v>
      </c>
      <c r="K113" s="19" t="s">
        <v>304</v>
      </c>
      <c r="L113" s="19" t="s">
        <v>305</v>
      </c>
      <c r="M113" s="3" t="s">
        <v>107</v>
      </c>
      <c r="N113" s="22" t="s">
        <v>373</v>
      </c>
      <c r="O113" s="73" t="s">
        <v>419</v>
      </c>
      <c r="P113" s="22" t="s">
        <v>495</v>
      </c>
      <c r="Q113" s="22" t="s">
        <v>373</v>
      </c>
      <c r="R113" s="22">
        <v>8</v>
      </c>
      <c r="S113" s="21">
        <v>35</v>
      </c>
      <c r="T113" s="22">
        <v>13</v>
      </c>
      <c r="U113" s="21">
        <v>0</v>
      </c>
      <c r="V113" s="21">
        <v>2</v>
      </c>
      <c r="W113" s="21">
        <v>0</v>
      </c>
      <c r="X113" s="21">
        <v>0</v>
      </c>
      <c r="Y113" s="94">
        <v>2</v>
      </c>
      <c r="Z113" s="116">
        <v>0</v>
      </c>
      <c r="AA113" s="87">
        <v>0</v>
      </c>
      <c r="AB113" s="29">
        <v>0</v>
      </c>
      <c r="AC113" s="29">
        <v>114870000</v>
      </c>
      <c r="AD113" s="29">
        <v>0</v>
      </c>
      <c r="AE113" s="29">
        <f t="shared" si="1"/>
        <v>114870000</v>
      </c>
      <c r="AF113" s="68" t="s">
        <v>364</v>
      </c>
      <c r="AG113" s="71"/>
    </row>
    <row r="114" spans="1:33" ht="41.4" x14ac:dyDescent="0.3">
      <c r="A114" s="148"/>
      <c r="B114" s="149">
        <v>0</v>
      </c>
      <c r="C114" s="148"/>
      <c r="D114" s="149">
        <v>0</v>
      </c>
      <c r="E114" s="75">
        <v>0</v>
      </c>
      <c r="F114" s="75">
        <v>0</v>
      </c>
      <c r="G114" s="74">
        <f>10.196-2+2</f>
        <v>10.196</v>
      </c>
      <c r="H114" s="75">
        <v>0</v>
      </c>
      <c r="I114" s="75">
        <v>2.5489999999999999</v>
      </c>
      <c r="J114" s="8">
        <v>51050010002</v>
      </c>
      <c r="K114" s="19" t="s">
        <v>306</v>
      </c>
      <c r="L114" s="19" t="s">
        <v>307</v>
      </c>
      <c r="M114" s="3" t="s">
        <v>107</v>
      </c>
      <c r="N114" s="22" t="s">
        <v>373</v>
      </c>
      <c r="O114" s="73" t="s">
        <v>381</v>
      </c>
      <c r="P114" s="22" t="s">
        <v>496</v>
      </c>
      <c r="Q114" s="22" t="s">
        <v>373</v>
      </c>
      <c r="R114" s="22">
        <v>8</v>
      </c>
      <c r="S114" s="21">
        <v>36</v>
      </c>
      <c r="T114" s="22">
        <v>13</v>
      </c>
      <c r="U114" s="21">
        <v>0</v>
      </c>
      <c r="V114" s="21">
        <v>1</v>
      </c>
      <c r="W114" s="21">
        <v>0</v>
      </c>
      <c r="X114" s="21">
        <v>0</v>
      </c>
      <c r="Y114" s="94">
        <v>1</v>
      </c>
      <c r="Z114" s="116">
        <v>0</v>
      </c>
      <c r="AA114" s="87">
        <v>0</v>
      </c>
      <c r="AB114" s="29">
        <v>0</v>
      </c>
      <c r="AC114" s="29">
        <v>146220000</v>
      </c>
      <c r="AD114" s="29">
        <v>0</v>
      </c>
      <c r="AE114" s="29">
        <f t="shared" si="1"/>
        <v>146220000</v>
      </c>
      <c r="AF114" s="68" t="s">
        <v>364</v>
      </c>
      <c r="AG114" s="71"/>
    </row>
    <row r="115" spans="1:33" ht="55.2" x14ac:dyDescent="0.3">
      <c r="A115" s="148"/>
      <c r="B115" s="149">
        <v>0</v>
      </c>
      <c r="C115" s="148"/>
      <c r="D115" s="149">
        <v>0</v>
      </c>
      <c r="E115" s="75">
        <v>0</v>
      </c>
      <c r="F115" s="75">
        <v>0</v>
      </c>
      <c r="G115" s="74">
        <f>6.559-6.559</f>
        <v>0</v>
      </c>
      <c r="H115" s="75">
        <f>7.592-7.592</f>
        <v>0</v>
      </c>
      <c r="I115" s="75">
        <v>3.5380000000000003</v>
      </c>
      <c r="J115" s="8">
        <v>51050010003</v>
      </c>
      <c r="K115" s="19" t="s">
        <v>308</v>
      </c>
      <c r="L115" s="19" t="s">
        <v>309</v>
      </c>
      <c r="M115" s="3" t="s">
        <v>107</v>
      </c>
      <c r="N115" s="22" t="s">
        <v>373</v>
      </c>
      <c r="O115" s="73" t="s">
        <v>497</v>
      </c>
      <c r="P115" s="22" t="s">
        <v>498</v>
      </c>
      <c r="Q115" s="22" t="s">
        <v>373</v>
      </c>
      <c r="R115" s="22">
        <v>8</v>
      </c>
      <c r="S115" s="21">
        <v>35</v>
      </c>
      <c r="T115" s="22">
        <v>13</v>
      </c>
      <c r="U115" s="21">
        <v>0</v>
      </c>
      <c r="V115" s="21">
        <v>2</v>
      </c>
      <c r="W115" s="21">
        <v>0</v>
      </c>
      <c r="X115" s="21">
        <v>0</v>
      </c>
      <c r="Y115" s="94">
        <v>0</v>
      </c>
      <c r="Z115" s="116">
        <v>0</v>
      </c>
      <c r="AA115" s="87">
        <v>0</v>
      </c>
      <c r="AB115" s="29">
        <v>0</v>
      </c>
      <c r="AC115" s="29">
        <v>0</v>
      </c>
      <c r="AD115" s="29">
        <v>0</v>
      </c>
      <c r="AE115" s="29">
        <f t="shared" si="1"/>
        <v>0</v>
      </c>
      <c r="AF115" s="68" t="s">
        <v>364</v>
      </c>
      <c r="AG115" s="71"/>
    </row>
    <row r="116" spans="1:33" ht="96.6" x14ac:dyDescent="0.3">
      <c r="A116" s="148"/>
      <c r="B116" s="149">
        <v>0</v>
      </c>
      <c r="C116" s="148"/>
      <c r="D116" s="149">
        <v>0</v>
      </c>
      <c r="E116" s="75">
        <v>0</v>
      </c>
      <c r="F116" s="75">
        <v>8.0760000000000005</v>
      </c>
      <c r="G116" s="74">
        <f>6.039+4</f>
        <v>10.039</v>
      </c>
      <c r="H116" s="75">
        <f>7.061+10</f>
        <v>17.061</v>
      </c>
      <c r="I116" s="75">
        <v>5.2940000000000005</v>
      </c>
      <c r="J116" s="8">
        <v>51050010004</v>
      </c>
      <c r="K116" s="19" t="s">
        <v>310</v>
      </c>
      <c r="L116" s="19" t="s">
        <v>311</v>
      </c>
      <c r="M116" s="3" t="s">
        <v>107</v>
      </c>
      <c r="N116" s="22" t="s">
        <v>373</v>
      </c>
      <c r="O116" s="73" t="s">
        <v>381</v>
      </c>
      <c r="P116" s="22" t="s">
        <v>499</v>
      </c>
      <c r="Q116" s="22" t="s">
        <v>373</v>
      </c>
      <c r="R116" s="22">
        <v>8</v>
      </c>
      <c r="S116" s="21">
        <v>35</v>
      </c>
      <c r="T116" s="22">
        <v>16</v>
      </c>
      <c r="U116" s="21">
        <v>0</v>
      </c>
      <c r="V116" s="21">
        <v>150</v>
      </c>
      <c r="W116" s="21">
        <v>0</v>
      </c>
      <c r="X116" s="21">
        <v>50</v>
      </c>
      <c r="Y116" s="94">
        <v>100</v>
      </c>
      <c r="Z116" s="116">
        <v>150</v>
      </c>
      <c r="AA116" s="87">
        <v>0</v>
      </c>
      <c r="AB116" s="29">
        <v>100000000</v>
      </c>
      <c r="AC116" s="29">
        <v>125000000</v>
      </c>
      <c r="AD116" s="29">
        <v>107670000</v>
      </c>
      <c r="AE116" s="29">
        <f t="shared" si="1"/>
        <v>332670000</v>
      </c>
      <c r="AF116" s="68" t="s">
        <v>364</v>
      </c>
      <c r="AG116" s="71"/>
    </row>
    <row r="117" spans="1:33" ht="55.2" x14ac:dyDescent="0.3">
      <c r="A117" s="148"/>
      <c r="B117" s="149">
        <v>0</v>
      </c>
      <c r="C117" s="148"/>
      <c r="D117" s="149">
        <v>0</v>
      </c>
      <c r="E117" s="75">
        <v>0</v>
      </c>
      <c r="F117" s="75">
        <f>23.512-3</f>
        <v>20.512</v>
      </c>
      <c r="G117" s="74">
        <f>24.295-3-4-2-5</f>
        <v>10.295000000000002</v>
      </c>
      <c r="H117" s="75">
        <f>23.023-4+4-10</f>
        <v>13.023</v>
      </c>
      <c r="I117" s="75">
        <v>17.707000000000001</v>
      </c>
      <c r="J117" s="8">
        <v>51050010005</v>
      </c>
      <c r="K117" s="19" t="s">
        <v>1765</v>
      </c>
      <c r="L117" s="19" t="s">
        <v>312</v>
      </c>
      <c r="M117" s="3" t="s">
        <v>107</v>
      </c>
      <c r="N117" s="22" t="s">
        <v>373</v>
      </c>
      <c r="O117" s="73" t="s">
        <v>381</v>
      </c>
      <c r="P117" s="22" t="s">
        <v>500</v>
      </c>
      <c r="Q117" s="22" t="s">
        <v>373</v>
      </c>
      <c r="R117" s="22">
        <v>8</v>
      </c>
      <c r="S117" s="21">
        <v>35</v>
      </c>
      <c r="T117" s="22">
        <v>13</v>
      </c>
      <c r="U117" s="21">
        <v>0</v>
      </c>
      <c r="V117" s="21">
        <v>420</v>
      </c>
      <c r="W117" s="21">
        <v>0</v>
      </c>
      <c r="X117" s="21">
        <v>40</v>
      </c>
      <c r="Y117" s="94">
        <v>88</v>
      </c>
      <c r="Z117" s="116">
        <v>420</v>
      </c>
      <c r="AA117" s="87">
        <v>0</v>
      </c>
      <c r="AB117" s="29">
        <v>250000000</v>
      </c>
      <c r="AC117" s="29">
        <v>222526200</v>
      </c>
      <c r="AD117" s="29">
        <v>61440000</v>
      </c>
      <c r="AE117" s="29">
        <f t="shared" si="1"/>
        <v>533966200</v>
      </c>
      <c r="AF117" s="68" t="s">
        <v>364</v>
      </c>
      <c r="AG117" s="71"/>
    </row>
    <row r="118" spans="1:33" ht="55.2" x14ac:dyDescent="0.3">
      <c r="A118" s="148"/>
      <c r="B118" s="149">
        <v>0</v>
      </c>
      <c r="C118" s="148"/>
      <c r="D118" s="149">
        <v>0</v>
      </c>
      <c r="E118" s="75">
        <v>0</v>
      </c>
      <c r="F118" s="75">
        <f>14.761+7+3</f>
        <v>24.760999999999999</v>
      </c>
      <c r="G118" s="74">
        <f>14.392+5-5</f>
        <v>14.391999999999999</v>
      </c>
      <c r="H118" s="75">
        <f>17.613-1.5+1.5-17.613</f>
        <v>0</v>
      </c>
      <c r="I118" s="75">
        <v>11.692</v>
      </c>
      <c r="J118" s="8">
        <v>51050010006</v>
      </c>
      <c r="K118" s="19" t="s">
        <v>313</v>
      </c>
      <c r="L118" s="19" t="s">
        <v>314</v>
      </c>
      <c r="M118" s="3" t="s">
        <v>107</v>
      </c>
      <c r="N118" s="22" t="s">
        <v>373</v>
      </c>
      <c r="O118" s="73" t="s">
        <v>381</v>
      </c>
      <c r="P118" s="22" t="s">
        <v>501</v>
      </c>
      <c r="Q118" s="22" t="s">
        <v>373</v>
      </c>
      <c r="R118" s="22">
        <v>8</v>
      </c>
      <c r="S118" s="21">
        <v>36</v>
      </c>
      <c r="T118" s="22">
        <v>16</v>
      </c>
      <c r="U118" s="21">
        <v>0</v>
      </c>
      <c r="V118" s="21">
        <v>1500</v>
      </c>
      <c r="W118" s="21">
        <v>0</v>
      </c>
      <c r="X118" s="21">
        <v>500</v>
      </c>
      <c r="Y118" s="94">
        <v>500</v>
      </c>
      <c r="Z118" s="116">
        <v>0</v>
      </c>
      <c r="AA118" s="87">
        <v>0</v>
      </c>
      <c r="AB118" s="29">
        <v>300000000</v>
      </c>
      <c r="AC118" s="29">
        <v>350000000</v>
      </c>
      <c r="AD118" s="29">
        <v>0</v>
      </c>
      <c r="AE118" s="29">
        <f t="shared" si="1"/>
        <v>650000000</v>
      </c>
      <c r="AF118" s="68" t="s">
        <v>364</v>
      </c>
      <c r="AG118" s="71"/>
    </row>
    <row r="119" spans="1:33" ht="27.6" x14ac:dyDescent="0.3">
      <c r="A119" s="148"/>
      <c r="B119" s="149">
        <v>0</v>
      </c>
      <c r="C119" s="148"/>
      <c r="D119" s="149">
        <v>0</v>
      </c>
      <c r="E119" s="75">
        <v>0</v>
      </c>
      <c r="F119" s="75">
        <f>9.076+6.597-5</f>
        <v>10.673000000000002</v>
      </c>
      <c r="G119" s="74">
        <v>0</v>
      </c>
      <c r="H119" s="75">
        <v>0</v>
      </c>
      <c r="I119" s="75">
        <v>2.2689999999999997</v>
      </c>
      <c r="J119" s="8">
        <v>51050010007</v>
      </c>
      <c r="K119" s="19" t="s">
        <v>315</v>
      </c>
      <c r="L119" s="19" t="s">
        <v>316</v>
      </c>
      <c r="M119" s="3" t="s">
        <v>107</v>
      </c>
      <c r="N119" s="22" t="s">
        <v>373</v>
      </c>
      <c r="O119" s="73" t="s">
        <v>381</v>
      </c>
      <c r="P119" s="22" t="s">
        <v>502</v>
      </c>
      <c r="Q119" s="22" t="s">
        <v>373</v>
      </c>
      <c r="R119" s="22">
        <v>8</v>
      </c>
      <c r="S119" s="21">
        <v>36</v>
      </c>
      <c r="T119" s="22">
        <v>13</v>
      </c>
      <c r="U119" s="21">
        <v>0</v>
      </c>
      <c r="V119" s="21">
        <v>1</v>
      </c>
      <c r="W119" s="21">
        <v>0</v>
      </c>
      <c r="X119" s="21">
        <v>1</v>
      </c>
      <c r="Y119" s="94">
        <v>0</v>
      </c>
      <c r="Z119" s="116">
        <v>0</v>
      </c>
      <c r="AA119" s="87">
        <v>0</v>
      </c>
      <c r="AB119" s="29">
        <v>80000000</v>
      </c>
      <c r="AC119" s="29">
        <v>0</v>
      </c>
      <c r="AD119" s="29">
        <v>0</v>
      </c>
      <c r="AE119" s="29">
        <f t="shared" si="1"/>
        <v>80000000</v>
      </c>
      <c r="AF119" s="68" t="s">
        <v>364</v>
      </c>
      <c r="AG119" s="71"/>
    </row>
    <row r="120" spans="1:33" ht="41.4" x14ac:dyDescent="0.3">
      <c r="A120" s="148"/>
      <c r="B120" s="149">
        <v>0</v>
      </c>
      <c r="C120" s="148"/>
      <c r="D120" s="149">
        <v>0</v>
      </c>
      <c r="E120" s="75">
        <v>100</v>
      </c>
      <c r="F120" s="75">
        <f>30.978+5</f>
        <v>35.978000000000002</v>
      </c>
      <c r="G120" s="74">
        <f>30.401-3.2+6.559+8.118+5</f>
        <v>46.878</v>
      </c>
      <c r="H120" s="75">
        <f>30.343-4+4+7.592+17.613</f>
        <v>55.548000000000002</v>
      </c>
      <c r="I120" s="75">
        <v>47.931000000000004</v>
      </c>
      <c r="J120" s="8">
        <v>51050010008</v>
      </c>
      <c r="K120" s="19" t="s">
        <v>317</v>
      </c>
      <c r="L120" s="19" t="s">
        <v>318</v>
      </c>
      <c r="M120" s="3" t="s">
        <v>107</v>
      </c>
      <c r="N120" s="22" t="s">
        <v>373</v>
      </c>
      <c r="O120" s="73" t="s">
        <v>381</v>
      </c>
      <c r="P120" s="22" t="s">
        <v>503</v>
      </c>
      <c r="Q120" s="22" t="s">
        <v>373</v>
      </c>
      <c r="R120" s="22">
        <v>8</v>
      </c>
      <c r="S120" s="21">
        <v>36</v>
      </c>
      <c r="T120" s="22">
        <v>13</v>
      </c>
      <c r="U120" s="21">
        <v>0</v>
      </c>
      <c r="V120" s="21">
        <v>3000</v>
      </c>
      <c r="W120" s="21">
        <v>1125</v>
      </c>
      <c r="X120" s="21">
        <v>1971</v>
      </c>
      <c r="Y120" s="94">
        <v>1618</v>
      </c>
      <c r="Z120" s="116">
        <v>3000</v>
      </c>
      <c r="AA120" s="87">
        <v>5362021654</v>
      </c>
      <c r="AB120" s="29">
        <v>4980700000</v>
      </c>
      <c r="AC120" s="29">
        <v>20715175000</v>
      </c>
      <c r="AD120" s="29">
        <v>3799909000</v>
      </c>
      <c r="AE120" s="29">
        <f t="shared" si="1"/>
        <v>34857805654</v>
      </c>
      <c r="AF120" s="68" t="s">
        <v>364</v>
      </c>
      <c r="AG120" s="71"/>
    </row>
    <row r="121" spans="1:33" ht="55.2" x14ac:dyDescent="0.3">
      <c r="A121" s="148"/>
      <c r="B121" s="149">
        <v>0</v>
      </c>
      <c r="C121" s="148"/>
      <c r="D121" s="149">
        <v>0</v>
      </c>
      <c r="E121" s="75">
        <v>0</v>
      </c>
      <c r="F121" s="75">
        <v>0</v>
      </c>
      <c r="G121" s="74">
        <f>8.118-8.118</f>
        <v>0</v>
      </c>
      <c r="H121" s="75">
        <f>14.368-2+2</f>
        <v>14.368</v>
      </c>
      <c r="I121" s="75">
        <v>5.6210000000000004</v>
      </c>
      <c r="J121" s="8">
        <v>51050010009</v>
      </c>
      <c r="K121" s="19" t="s">
        <v>319</v>
      </c>
      <c r="L121" s="19" t="s">
        <v>320</v>
      </c>
      <c r="M121" s="3" t="s">
        <v>107</v>
      </c>
      <c r="N121" s="22" t="s">
        <v>373</v>
      </c>
      <c r="O121" s="73" t="s">
        <v>381</v>
      </c>
      <c r="P121" s="22" t="s">
        <v>504</v>
      </c>
      <c r="Q121" s="22" t="s">
        <v>373</v>
      </c>
      <c r="R121" s="22">
        <v>8</v>
      </c>
      <c r="S121" s="21">
        <v>35</v>
      </c>
      <c r="T121" s="22">
        <v>13</v>
      </c>
      <c r="U121" s="21">
        <v>0</v>
      </c>
      <c r="V121" s="21">
        <v>1</v>
      </c>
      <c r="W121" s="21">
        <v>0</v>
      </c>
      <c r="X121" s="21">
        <v>0</v>
      </c>
      <c r="Y121" s="102">
        <v>0</v>
      </c>
      <c r="Z121" s="116">
        <v>1</v>
      </c>
      <c r="AA121" s="87">
        <v>0</v>
      </c>
      <c r="AB121" s="29">
        <v>0</v>
      </c>
      <c r="AC121" s="29">
        <v>0</v>
      </c>
      <c r="AD121" s="29">
        <v>75360000</v>
      </c>
      <c r="AE121" s="29">
        <f t="shared" si="1"/>
        <v>75360000</v>
      </c>
      <c r="AF121" s="68" t="s">
        <v>364</v>
      </c>
      <c r="AG121" s="71"/>
    </row>
    <row r="122" spans="1:33" ht="51" customHeight="1" x14ac:dyDescent="0.3">
      <c r="A122" s="148"/>
      <c r="B122" s="149">
        <v>0</v>
      </c>
      <c r="C122" s="148" t="s">
        <v>352</v>
      </c>
      <c r="D122" s="149">
        <v>36.847000000000001</v>
      </c>
      <c r="E122" s="75">
        <v>0</v>
      </c>
      <c r="F122" s="75">
        <v>12.02</v>
      </c>
      <c r="G122" s="74">
        <f>10.634-1</f>
        <v>9.6340000000000003</v>
      </c>
      <c r="H122" s="75">
        <f>9.331+4.808</f>
        <v>14.138999999999999</v>
      </c>
      <c r="I122" s="75">
        <v>7.9960000000000004</v>
      </c>
      <c r="J122" s="8">
        <v>51050020001</v>
      </c>
      <c r="K122" s="19" t="s">
        <v>321</v>
      </c>
      <c r="L122" s="19" t="s">
        <v>322</v>
      </c>
      <c r="M122" s="3" t="s">
        <v>107</v>
      </c>
      <c r="N122" s="22" t="s">
        <v>373</v>
      </c>
      <c r="O122" s="73" t="s">
        <v>381</v>
      </c>
      <c r="P122" s="22" t="s">
        <v>505</v>
      </c>
      <c r="Q122" s="22" t="s">
        <v>373</v>
      </c>
      <c r="R122" s="22">
        <v>2</v>
      </c>
      <c r="S122" s="21">
        <v>17</v>
      </c>
      <c r="T122" s="22">
        <v>13</v>
      </c>
      <c r="U122" s="21">
        <v>0</v>
      </c>
      <c r="V122" s="21">
        <v>20</v>
      </c>
      <c r="W122" s="21">
        <v>0</v>
      </c>
      <c r="X122" s="21">
        <v>7</v>
      </c>
      <c r="Y122" s="94">
        <v>14</v>
      </c>
      <c r="Z122" s="116">
        <v>20</v>
      </c>
      <c r="AA122" s="87">
        <v>0</v>
      </c>
      <c r="AB122" s="29">
        <v>150000000</v>
      </c>
      <c r="AC122" s="29">
        <v>200000000</v>
      </c>
      <c r="AD122" s="21">
        <v>125270000</v>
      </c>
      <c r="AE122" s="29">
        <f t="shared" si="1"/>
        <v>475270000</v>
      </c>
      <c r="AF122" s="68" t="s">
        <v>364</v>
      </c>
      <c r="AG122" s="71"/>
    </row>
    <row r="123" spans="1:33" ht="41.4" x14ac:dyDescent="0.3">
      <c r="A123" s="148"/>
      <c r="B123" s="149">
        <v>0</v>
      </c>
      <c r="C123" s="148"/>
      <c r="D123" s="149">
        <v>0</v>
      </c>
      <c r="E123" s="75">
        <v>25.729999999999997</v>
      </c>
      <c r="F123" s="75">
        <v>8.3469999999999995</v>
      </c>
      <c r="G123" s="74">
        <f>6.755+2.227+0.7+1+1</f>
        <v>11.681999999999999</v>
      </c>
      <c r="H123" s="75">
        <f>5.893+8.321</f>
        <v>14.213999999999999</v>
      </c>
      <c r="I123" s="75">
        <v>11.68</v>
      </c>
      <c r="J123" s="8">
        <v>51050020002</v>
      </c>
      <c r="K123" s="19" t="s">
        <v>323</v>
      </c>
      <c r="L123" s="19" t="s">
        <v>324</v>
      </c>
      <c r="M123" s="3" t="s">
        <v>107</v>
      </c>
      <c r="N123" s="22" t="s">
        <v>373</v>
      </c>
      <c r="O123" s="73" t="s">
        <v>419</v>
      </c>
      <c r="P123" s="22" t="s">
        <v>506</v>
      </c>
      <c r="Q123" s="22" t="s">
        <v>373</v>
      </c>
      <c r="R123" s="22">
        <v>2</v>
      </c>
      <c r="S123" s="21">
        <v>17</v>
      </c>
      <c r="T123" s="22">
        <v>13</v>
      </c>
      <c r="U123" s="21">
        <v>15</v>
      </c>
      <c r="V123" s="21">
        <v>45</v>
      </c>
      <c r="W123" s="21">
        <v>25</v>
      </c>
      <c r="X123" s="21">
        <v>30</v>
      </c>
      <c r="Y123" s="94">
        <v>40</v>
      </c>
      <c r="Z123" s="116">
        <v>45</v>
      </c>
      <c r="AA123" s="87">
        <v>300000000</v>
      </c>
      <c r="AB123" s="29">
        <v>200000000</v>
      </c>
      <c r="AC123" s="29">
        <v>377029500</v>
      </c>
      <c r="AD123" s="29">
        <v>153898000</v>
      </c>
      <c r="AE123" s="29">
        <f t="shared" si="1"/>
        <v>1030927500</v>
      </c>
      <c r="AF123" s="68" t="s">
        <v>364</v>
      </c>
      <c r="AG123" s="71"/>
    </row>
    <row r="124" spans="1:33" ht="55.2" x14ac:dyDescent="0.3">
      <c r="A124" s="148"/>
      <c r="B124" s="149">
        <v>0</v>
      </c>
      <c r="C124" s="148"/>
      <c r="D124" s="149">
        <v>0</v>
      </c>
      <c r="E124" s="75">
        <v>33.820999999999998</v>
      </c>
      <c r="F124" s="75">
        <v>13.757</v>
      </c>
      <c r="G124" s="74">
        <v>11.465</v>
      </c>
      <c r="H124" s="75">
        <f>9.969+9</f>
        <v>18.969000000000001</v>
      </c>
      <c r="I124" s="75">
        <v>17.253</v>
      </c>
      <c r="J124" s="8">
        <v>51050020003</v>
      </c>
      <c r="K124" s="19" t="s">
        <v>325</v>
      </c>
      <c r="L124" s="19" t="s">
        <v>326</v>
      </c>
      <c r="M124" s="3" t="s">
        <v>107</v>
      </c>
      <c r="N124" s="22" t="s">
        <v>374</v>
      </c>
      <c r="O124" s="73" t="s">
        <v>507</v>
      </c>
      <c r="P124" s="22" t="s">
        <v>508</v>
      </c>
      <c r="Q124" s="22" t="s">
        <v>373</v>
      </c>
      <c r="R124" s="22">
        <v>2</v>
      </c>
      <c r="S124" s="21">
        <v>35</v>
      </c>
      <c r="T124" s="22">
        <v>13</v>
      </c>
      <c r="U124" s="21">
        <v>0</v>
      </c>
      <c r="V124" s="21">
        <v>100</v>
      </c>
      <c r="W124" s="21">
        <v>25</v>
      </c>
      <c r="X124" s="21">
        <v>45</v>
      </c>
      <c r="Y124" s="94">
        <v>70</v>
      </c>
      <c r="Z124" s="116">
        <v>100</v>
      </c>
      <c r="AA124" s="87">
        <v>578076000</v>
      </c>
      <c r="AB124" s="29">
        <v>200000000</v>
      </c>
      <c r="AC124" s="29">
        <v>300000000</v>
      </c>
      <c r="AD124" s="29">
        <v>339417000</v>
      </c>
      <c r="AE124" s="29">
        <f t="shared" si="1"/>
        <v>1417493000</v>
      </c>
      <c r="AF124" s="68" t="s">
        <v>364</v>
      </c>
      <c r="AG124" s="71"/>
    </row>
    <row r="125" spans="1:33" ht="55.2" x14ac:dyDescent="0.3">
      <c r="A125" s="148"/>
      <c r="B125" s="149">
        <v>0</v>
      </c>
      <c r="C125" s="148"/>
      <c r="D125" s="149">
        <v>0</v>
      </c>
      <c r="E125" s="75">
        <v>0</v>
      </c>
      <c r="F125" s="75">
        <f>30.836-10</f>
        <v>20.835999999999999</v>
      </c>
      <c r="G125" s="74">
        <f>30.917-2</f>
        <v>28.917000000000002</v>
      </c>
      <c r="H125" s="75">
        <f>26.797+3</f>
        <v>29.797000000000001</v>
      </c>
      <c r="I125" s="75">
        <v>22.137</v>
      </c>
      <c r="J125" s="8">
        <v>51050020004</v>
      </c>
      <c r="K125" s="19" t="s">
        <v>327</v>
      </c>
      <c r="L125" s="19" t="s">
        <v>328</v>
      </c>
      <c r="M125" s="3" t="s">
        <v>107</v>
      </c>
      <c r="N125" s="22" t="s">
        <v>373</v>
      </c>
      <c r="O125" s="73" t="s">
        <v>381</v>
      </c>
      <c r="P125" s="22" t="s">
        <v>509</v>
      </c>
      <c r="Q125" s="22" t="s">
        <v>373</v>
      </c>
      <c r="R125" s="22">
        <v>2</v>
      </c>
      <c r="S125" s="21">
        <v>45</v>
      </c>
      <c r="T125" s="22">
        <v>17</v>
      </c>
      <c r="U125" s="21">
        <v>0</v>
      </c>
      <c r="V125" s="21">
        <v>3</v>
      </c>
      <c r="W125" s="21">
        <v>0</v>
      </c>
      <c r="X125" s="21">
        <v>1</v>
      </c>
      <c r="Y125" s="94">
        <v>1</v>
      </c>
      <c r="Z125" s="116">
        <v>3</v>
      </c>
      <c r="AA125" s="87">
        <v>0</v>
      </c>
      <c r="AB125" s="29">
        <v>1516495349</v>
      </c>
      <c r="AC125" s="29">
        <v>31458504112</v>
      </c>
      <c r="AD125" s="21">
        <v>382644100</v>
      </c>
      <c r="AE125" s="29">
        <f t="shared" si="1"/>
        <v>33357643561</v>
      </c>
      <c r="AF125" s="68" t="s">
        <v>371</v>
      </c>
      <c r="AG125" s="71"/>
    </row>
    <row r="126" spans="1:33" ht="55.2" x14ac:dyDescent="0.3">
      <c r="A126" s="148"/>
      <c r="B126" s="149">
        <v>0</v>
      </c>
      <c r="C126" s="148"/>
      <c r="D126" s="149">
        <v>0</v>
      </c>
      <c r="E126" s="75">
        <v>0</v>
      </c>
      <c r="F126" s="75">
        <v>0</v>
      </c>
      <c r="G126" s="74">
        <f>2.227-2.227</f>
        <v>0</v>
      </c>
      <c r="H126" s="75">
        <f>4.808-4.808</f>
        <v>0</v>
      </c>
      <c r="I126" s="75">
        <v>1.7610000000000001</v>
      </c>
      <c r="J126" s="8">
        <v>51050020005</v>
      </c>
      <c r="K126" s="19" t="s">
        <v>1752</v>
      </c>
      <c r="L126" s="19" t="s">
        <v>329</v>
      </c>
      <c r="M126" s="3" t="s">
        <v>107</v>
      </c>
      <c r="N126" s="22" t="s">
        <v>373</v>
      </c>
      <c r="O126" s="73" t="s">
        <v>381</v>
      </c>
      <c r="P126" s="22" t="s">
        <v>510</v>
      </c>
      <c r="Q126" s="22" t="s">
        <v>373</v>
      </c>
      <c r="R126" s="22">
        <v>2</v>
      </c>
      <c r="S126" s="21">
        <v>45</v>
      </c>
      <c r="T126" s="22">
        <v>17</v>
      </c>
      <c r="U126" s="21">
        <v>3</v>
      </c>
      <c r="V126" s="21">
        <v>6</v>
      </c>
      <c r="W126" s="21">
        <v>0</v>
      </c>
      <c r="X126" s="21">
        <v>0</v>
      </c>
      <c r="Y126" s="94">
        <v>0</v>
      </c>
      <c r="Z126" s="116">
        <v>0</v>
      </c>
      <c r="AA126" s="87">
        <v>0</v>
      </c>
      <c r="AB126" s="29">
        <v>0</v>
      </c>
      <c r="AC126" s="29">
        <v>0</v>
      </c>
      <c r="AD126" s="29">
        <v>0</v>
      </c>
      <c r="AE126" s="29">
        <f t="shared" si="1"/>
        <v>0</v>
      </c>
      <c r="AF126" s="68" t="s">
        <v>371</v>
      </c>
      <c r="AG126" s="71"/>
    </row>
    <row r="127" spans="1:33" ht="69" x14ac:dyDescent="0.3">
      <c r="A127" s="148"/>
      <c r="B127" s="149">
        <v>0</v>
      </c>
      <c r="C127" s="148"/>
      <c r="D127" s="149">
        <v>0</v>
      </c>
      <c r="E127" s="75">
        <v>0</v>
      </c>
      <c r="F127" s="75">
        <f>18.155+10</f>
        <v>28.155000000000001</v>
      </c>
      <c r="G127" s="74">
        <f>4.34-4.34+4.34+1.5+2+1</f>
        <v>8.84</v>
      </c>
      <c r="H127" s="75">
        <f>5.424-3-2.424</f>
        <v>0</v>
      </c>
      <c r="I127" s="75">
        <v>6.98</v>
      </c>
      <c r="J127" s="8">
        <v>51050020006</v>
      </c>
      <c r="K127" s="19" t="s">
        <v>330</v>
      </c>
      <c r="L127" s="19" t="s">
        <v>331</v>
      </c>
      <c r="M127" s="3" t="s">
        <v>107</v>
      </c>
      <c r="N127" s="22" t="s">
        <v>373</v>
      </c>
      <c r="O127" s="73" t="s">
        <v>456</v>
      </c>
      <c r="P127" s="22" t="s">
        <v>511</v>
      </c>
      <c r="Q127" s="22" t="s">
        <v>374</v>
      </c>
      <c r="R127" s="22">
        <v>2</v>
      </c>
      <c r="S127" s="21">
        <v>17</v>
      </c>
      <c r="T127" s="22">
        <v>13</v>
      </c>
      <c r="U127" s="21">
        <v>0</v>
      </c>
      <c r="V127" s="21">
        <v>1</v>
      </c>
      <c r="W127" s="21">
        <v>0</v>
      </c>
      <c r="X127" s="33">
        <v>0.33</v>
      </c>
      <c r="Y127" s="94">
        <v>1</v>
      </c>
      <c r="Z127" s="116">
        <v>0</v>
      </c>
      <c r="AA127" s="87">
        <v>0</v>
      </c>
      <c r="AB127" s="29">
        <v>2000000000</v>
      </c>
      <c r="AC127" s="29">
        <v>250000000</v>
      </c>
      <c r="AD127" s="29">
        <v>0</v>
      </c>
      <c r="AE127" s="29">
        <f t="shared" si="1"/>
        <v>2250000000</v>
      </c>
      <c r="AF127" s="68" t="s">
        <v>364</v>
      </c>
      <c r="AG127" s="71"/>
    </row>
    <row r="128" spans="1:33" ht="55.2" x14ac:dyDescent="0.3">
      <c r="A128" s="148"/>
      <c r="B128" s="149">
        <v>0</v>
      </c>
      <c r="C128" s="148"/>
      <c r="D128" s="149">
        <v>0</v>
      </c>
      <c r="E128" s="75">
        <v>0</v>
      </c>
      <c r="F128" s="75">
        <v>0</v>
      </c>
      <c r="G128" s="74">
        <f>5.897+4.34-0.7-4.34+1</f>
        <v>6.197000000000001</v>
      </c>
      <c r="H128" s="75">
        <v>0</v>
      </c>
      <c r="I128" s="75">
        <v>1.474</v>
      </c>
      <c r="J128" s="8">
        <v>51050020007</v>
      </c>
      <c r="K128" s="19" t="s">
        <v>332</v>
      </c>
      <c r="L128" s="19" t="s">
        <v>333</v>
      </c>
      <c r="M128" s="3" t="s">
        <v>107</v>
      </c>
      <c r="N128" s="22" t="s">
        <v>373</v>
      </c>
      <c r="O128" s="73" t="s">
        <v>381</v>
      </c>
      <c r="P128" s="22" t="s">
        <v>512</v>
      </c>
      <c r="Q128" s="22" t="s">
        <v>373</v>
      </c>
      <c r="R128" s="22">
        <v>5</v>
      </c>
      <c r="S128" s="21">
        <v>36</v>
      </c>
      <c r="T128" s="22">
        <v>13</v>
      </c>
      <c r="U128" s="21">
        <v>0</v>
      </c>
      <c r="V128" s="21">
        <v>1</v>
      </c>
      <c r="W128" s="21">
        <v>0</v>
      </c>
      <c r="X128" s="21">
        <v>0</v>
      </c>
      <c r="Y128" s="94">
        <v>1</v>
      </c>
      <c r="Z128" s="116">
        <v>0</v>
      </c>
      <c r="AA128" s="87">
        <v>0</v>
      </c>
      <c r="AB128" s="29">
        <v>0</v>
      </c>
      <c r="AC128" s="29">
        <v>200000000</v>
      </c>
      <c r="AD128" s="29">
        <v>0</v>
      </c>
      <c r="AE128" s="29">
        <f t="shared" si="1"/>
        <v>200000000</v>
      </c>
      <c r="AF128" s="68" t="s">
        <v>364</v>
      </c>
      <c r="AG128" s="71"/>
    </row>
    <row r="129" spans="1:33" ht="110.4" x14ac:dyDescent="0.3">
      <c r="A129" s="148"/>
      <c r="B129" s="149">
        <v>0</v>
      </c>
      <c r="C129" s="148"/>
      <c r="D129" s="149">
        <v>0</v>
      </c>
      <c r="E129" s="75">
        <v>40.448999999999998</v>
      </c>
      <c r="F129" s="75">
        <v>16.885000000000002</v>
      </c>
      <c r="G129" s="74">
        <f>18.198-1-1.5-1-1</f>
        <v>13.698</v>
      </c>
      <c r="H129" s="75">
        <f>13.457+2.424+7</f>
        <v>22.881</v>
      </c>
      <c r="I129" s="75">
        <v>22.247</v>
      </c>
      <c r="J129" s="8">
        <v>51050020008</v>
      </c>
      <c r="K129" s="19" t="s">
        <v>334</v>
      </c>
      <c r="L129" s="19" t="s">
        <v>335</v>
      </c>
      <c r="M129" s="3" t="s">
        <v>144</v>
      </c>
      <c r="N129" s="22" t="s">
        <v>373</v>
      </c>
      <c r="O129" s="73" t="s">
        <v>381</v>
      </c>
      <c r="P129" s="22" t="s">
        <v>513</v>
      </c>
      <c r="Q129" s="22" t="s">
        <v>373</v>
      </c>
      <c r="R129" s="22">
        <v>2</v>
      </c>
      <c r="S129" s="21">
        <v>17</v>
      </c>
      <c r="T129" s="22">
        <v>8</v>
      </c>
      <c r="U129" s="21">
        <v>1658</v>
      </c>
      <c r="V129" s="21">
        <v>1700</v>
      </c>
      <c r="W129" s="21">
        <v>475</v>
      </c>
      <c r="X129" s="21">
        <v>1000</v>
      </c>
      <c r="Y129" s="94">
        <v>2833</v>
      </c>
      <c r="Z129" s="116">
        <v>1700</v>
      </c>
      <c r="AA129" s="105">
        <v>2558500000</v>
      </c>
      <c r="AB129" s="49">
        <v>556005470</v>
      </c>
      <c r="AC129" s="29">
        <v>975450000</v>
      </c>
      <c r="AD129" s="29">
        <v>350673000</v>
      </c>
      <c r="AE129" s="29">
        <f t="shared" si="1"/>
        <v>4440628470</v>
      </c>
      <c r="AF129" s="68" t="s">
        <v>368</v>
      </c>
      <c r="AG129" s="71"/>
    </row>
    <row r="130" spans="1:33" ht="55.2" x14ac:dyDescent="0.3">
      <c r="A130" s="148"/>
      <c r="B130" s="149">
        <v>0</v>
      </c>
      <c r="C130" s="148"/>
      <c r="D130" s="149">
        <v>0</v>
      </c>
      <c r="E130" s="75">
        <v>0</v>
      </c>
      <c r="F130" s="75">
        <v>0</v>
      </c>
      <c r="G130" s="74">
        <v>9.5670000000000002</v>
      </c>
      <c r="H130" s="75">
        <f>24.321-7-9-8.321</f>
        <v>0</v>
      </c>
      <c r="I130" s="75">
        <v>8.4719999999999995</v>
      </c>
      <c r="J130" s="8">
        <v>51050020009</v>
      </c>
      <c r="K130" s="19" t="s">
        <v>336</v>
      </c>
      <c r="L130" s="19" t="s">
        <v>337</v>
      </c>
      <c r="M130" s="3" t="s">
        <v>107</v>
      </c>
      <c r="N130" s="22" t="s">
        <v>373</v>
      </c>
      <c r="O130" s="73" t="s">
        <v>419</v>
      </c>
      <c r="P130" s="22" t="s">
        <v>514</v>
      </c>
      <c r="Q130" s="22" t="s">
        <v>373</v>
      </c>
      <c r="R130" s="22">
        <v>2</v>
      </c>
      <c r="S130" s="21">
        <v>35</v>
      </c>
      <c r="T130" s="22">
        <v>13</v>
      </c>
      <c r="U130" s="21">
        <v>0</v>
      </c>
      <c r="V130" s="21">
        <v>1</v>
      </c>
      <c r="W130" s="21">
        <v>0</v>
      </c>
      <c r="X130" s="21">
        <v>0</v>
      </c>
      <c r="Y130" s="102">
        <v>0.3</v>
      </c>
      <c r="Z130" s="121">
        <v>0</v>
      </c>
      <c r="AA130" s="87">
        <v>0</v>
      </c>
      <c r="AB130" s="29">
        <v>0</v>
      </c>
      <c r="AC130" s="29">
        <v>200000000</v>
      </c>
      <c r="AD130" s="29">
        <v>0</v>
      </c>
      <c r="AE130" s="29">
        <f t="shared" si="1"/>
        <v>200000000</v>
      </c>
      <c r="AF130" s="68" t="s">
        <v>364</v>
      </c>
      <c r="AG130" s="71"/>
    </row>
    <row r="131" spans="1:33" ht="69" x14ac:dyDescent="0.3">
      <c r="A131" s="148"/>
      <c r="B131" s="149">
        <v>0</v>
      </c>
      <c r="C131" s="148" t="s">
        <v>353</v>
      </c>
      <c r="D131" s="149">
        <v>21.902999999999999</v>
      </c>
      <c r="E131" s="75">
        <v>58.45</v>
      </c>
      <c r="F131" s="75">
        <v>42.903000000000006</v>
      </c>
      <c r="G131" s="75">
        <v>42.903000000000006</v>
      </c>
      <c r="H131" s="75">
        <v>42.903000000000006</v>
      </c>
      <c r="I131" s="75">
        <v>46.79</v>
      </c>
      <c r="J131" s="8">
        <v>51050030001</v>
      </c>
      <c r="K131" s="19" t="s">
        <v>1766</v>
      </c>
      <c r="L131" s="19" t="s">
        <v>338</v>
      </c>
      <c r="M131" s="3" t="s">
        <v>107</v>
      </c>
      <c r="N131" s="22" t="s">
        <v>373</v>
      </c>
      <c r="O131" s="73" t="s">
        <v>381</v>
      </c>
      <c r="P131" s="22" t="s">
        <v>515</v>
      </c>
      <c r="Q131" s="22" t="s">
        <v>373</v>
      </c>
      <c r="R131" s="22">
        <v>11</v>
      </c>
      <c r="S131" s="21">
        <v>35</v>
      </c>
      <c r="T131" s="22">
        <v>18</v>
      </c>
      <c r="U131" s="21">
        <v>0</v>
      </c>
      <c r="V131" s="21">
        <v>800</v>
      </c>
      <c r="W131" s="21">
        <v>100</v>
      </c>
      <c r="X131" s="21">
        <v>300</v>
      </c>
      <c r="Y131" s="108">
        <v>500</v>
      </c>
      <c r="Z131" s="116">
        <v>800</v>
      </c>
      <c r="AA131" s="87">
        <v>948441723</v>
      </c>
      <c r="AB131" s="29">
        <v>1250000000</v>
      </c>
      <c r="AC131" s="29">
        <v>996000000</v>
      </c>
      <c r="AD131" s="29">
        <v>788167978</v>
      </c>
      <c r="AE131" s="29">
        <f t="shared" si="1"/>
        <v>3982609701</v>
      </c>
      <c r="AF131" s="68" t="s">
        <v>372</v>
      </c>
      <c r="AG131" s="71"/>
    </row>
    <row r="132" spans="1:33" ht="55.2" x14ac:dyDescent="0.3">
      <c r="A132" s="148"/>
      <c r="B132" s="149">
        <v>0</v>
      </c>
      <c r="C132" s="148"/>
      <c r="D132" s="149">
        <v>0</v>
      </c>
      <c r="E132" s="75">
        <v>0</v>
      </c>
      <c r="F132" s="75">
        <v>30.631000000000004</v>
      </c>
      <c r="G132" s="75">
        <v>30.631000000000004</v>
      </c>
      <c r="H132" s="75">
        <v>30.631000000000004</v>
      </c>
      <c r="I132" s="75">
        <v>22.972999999999999</v>
      </c>
      <c r="J132" s="8">
        <v>51050030002</v>
      </c>
      <c r="K132" s="19" t="s">
        <v>1767</v>
      </c>
      <c r="L132" s="19" t="s">
        <v>339</v>
      </c>
      <c r="M132" s="3" t="s">
        <v>144</v>
      </c>
      <c r="N132" s="22" t="s">
        <v>373</v>
      </c>
      <c r="O132" s="73" t="s">
        <v>381</v>
      </c>
      <c r="P132" s="22" t="s">
        <v>516</v>
      </c>
      <c r="Q132" s="22" t="s">
        <v>373</v>
      </c>
      <c r="R132" s="22">
        <v>11</v>
      </c>
      <c r="S132" s="21">
        <v>45</v>
      </c>
      <c r="T132" s="22">
        <v>18</v>
      </c>
      <c r="U132" s="21">
        <v>0</v>
      </c>
      <c r="V132" s="21">
        <v>1240</v>
      </c>
      <c r="W132" s="21">
        <v>0</v>
      </c>
      <c r="X132" s="21">
        <v>413</v>
      </c>
      <c r="Y132" s="94">
        <v>764</v>
      </c>
      <c r="Z132" s="116">
        <v>1240</v>
      </c>
      <c r="AA132" s="87">
        <v>0</v>
      </c>
      <c r="AB132" s="29">
        <v>103591268</v>
      </c>
      <c r="AC132" s="29">
        <v>159600000</v>
      </c>
      <c r="AD132" s="29">
        <v>115298112</v>
      </c>
      <c r="AE132" s="29">
        <f t="shared" si="1"/>
        <v>378489380</v>
      </c>
      <c r="AF132" s="68" t="s">
        <v>372</v>
      </c>
      <c r="AG132" s="71"/>
    </row>
    <row r="133" spans="1:33" ht="82.8" x14ac:dyDescent="0.3">
      <c r="A133" s="148"/>
      <c r="B133" s="149">
        <v>0</v>
      </c>
      <c r="C133" s="148"/>
      <c r="D133" s="149">
        <v>0</v>
      </c>
      <c r="E133" s="75">
        <v>41.55</v>
      </c>
      <c r="F133" s="75">
        <v>26.466000000000001</v>
      </c>
      <c r="G133" s="75">
        <v>26.466000000000001</v>
      </c>
      <c r="H133" s="75">
        <v>26.466000000000001</v>
      </c>
      <c r="I133" s="75">
        <v>30.237000000000002</v>
      </c>
      <c r="J133" s="8">
        <v>51050030003</v>
      </c>
      <c r="K133" s="19" t="s">
        <v>340</v>
      </c>
      <c r="L133" s="19" t="s">
        <v>341</v>
      </c>
      <c r="M133" s="3" t="s">
        <v>107</v>
      </c>
      <c r="N133" s="22" t="s">
        <v>373</v>
      </c>
      <c r="O133" s="73" t="s">
        <v>381</v>
      </c>
      <c r="P133" s="22" t="s">
        <v>517</v>
      </c>
      <c r="Q133" s="22" t="s">
        <v>373</v>
      </c>
      <c r="R133" s="22">
        <v>11</v>
      </c>
      <c r="S133" s="21">
        <v>19</v>
      </c>
      <c r="T133" s="22">
        <v>18</v>
      </c>
      <c r="U133" s="21">
        <v>0</v>
      </c>
      <c r="V133" s="21">
        <v>4000</v>
      </c>
      <c r="W133" s="21">
        <v>1000</v>
      </c>
      <c r="X133" s="21">
        <v>1621</v>
      </c>
      <c r="Y133" s="94">
        <v>2971</v>
      </c>
      <c r="Z133" s="116">
        <v>4000</v>
      </c>
      <c r="AA133" s="87">
        <v>275354076</v>
      </c>
      <c r="AB133" s="29">
        <v>333000000</v>
      </c>
      <c r="AC133" s="29">
        <v>330000000</v>
      </c>
      <c r="AD133" s="29">
        <v>305448505</v>
      </c>
      <c r="AE133" s="29">
        <f t="shared" si="1"/>
        <v>1243802581</v>
      </c>
      <c r="AF133" s="68" t="s">
        <v>372</v>
      </c>
      <c r="AG133" s="71"/>
    </row>
    <row r="134" spans="1:33" x14ac:dyDescent="0.3">
      <c r="E134" s="36"/>
      <c r="F134" s="36"/>
      <c r="G134" s="36"/>
      <c r="H134" s="36"/>
      <c r="I134" s="36"/>
      <c r="Y134" s="89"/>
      <c r="Z134" s="89"/>
      <c r="AC134" s="54"/>
      <c r="AD134" s="54"/>
    </row>
    <row r="135" spans="1:33" x14ac:dyDescent="0.3">
      <c r="E135" s="36"/>
      <c r="F135" s="36"/>
      <c r="G135" s="36"/>
      <c r="H135" s="36"/>
      <c r="I135" s="36"/>
      <c r="Y135" s="55"/>
      <c r="Z135" s="55"/>
      <c r="AC135" s="54"/>
      <c r="AD135" s="54"/>
    </row>
    <row r="136" spans="1:33" x14ac:dyDescent="0.3">
      <c r="E136" s="36"/>
      <c r="F136" s="36"/>
      <c r="G136" s="36"/>
      <c r="H136" s="36"/>
      <c r="I136" s="36"/>
      <c r="Y136" s="55"/>
      <c r="Z136" s="55"/>
      <c r="AC136" s="54"/>
      <c r="AD136" s="54"/>
    </row>
    <row r="137" spans="1:33" x14ac:dyDescent="0.3">
      <c r="E137" s="36"/>
      <c r="F137" s="36"/>
      <c r="G137" s="36"/>
      <c r="H137" s="36"/>
      <c r="I137" s="36"/>
      <c r="Y137" s="55"/>
      <c r="Z137" s="55"/>
      <c r="AC137" s="54"/>
      <c r="AD137" s="55"/>
    </row>
    <row r="138" spans="1:33" x14ac:dyDescent="0.3">
      <c r="E138" s="36"/>
      <c r="F138" s="36"/>
      <c r="G138" s="36"/>
      <c r="H138" s="36"/>
      <c r="I138" s="36"/>
      <c r="AD138" s="54"/>
    </row>
    <row r="139" spans="1:33" x14ac:dyDescent="0.3">
      <c r="E139" s="36"/>
      <c r="F139" s="36"/>
      <c r="G139" s="36"/>
      <c r="H139" s="36"/>
      <c r="I139" s="36"/>
      <c r="AD139" s="54"/>
    </row>
    <row r="140" spans="1:33" x14ac:dyDescent="0.3">
      <c r="E140" s="36"/>
      <c r="F140" s="36"/>
      <c r="G140" s="36"/>
      <c r="H140" s="36"/>
      <c r="I140" s="36"/>
      <c r="AD140" s="54"/>
    </row>
    <row r="141" spans="1:33" x14ac:dyDescent="0.3">
      <c r="E141" s="36"/>
      <c r="F141" s="36"/>
      <c r="G141" s="36"/>
      <c r="H141" s="36"/>
      <c r="I141" s="36"/>
      <c r="AD141" s="54"/>
    </row>
    <row r="142" spans="1:33" x14ac:dyDescent="0.3">
      <c r="E142" s="36"/>
      <c r="F142" s="36"/>
      <c r="G142" s="36"/>
      <c r="H142" s="36"/>
      <c r="I142" s="36"/>
      <c r="AD142" s="54"/>
    </row>
    <row r="143" spans="1:33" x14ac:dyDescent="0.3">
      <c r="E143" s="36"/>
      <c r="F143" s="36"/>
      <c r="G143" s="36"/>
      <c r="H143" s="36"/>
      <c r="I143" s="36"/>
      <c r="AD143" s="54"/>
    </row>
    <row r="144" spans="1:33" x14ac:dyDescent="0.3">
      <c r="E144" s="36"/>
      <c r="F144" s="36"/>
      <c r="G144" s="36"/>
      <c r="H144" s="36"/>
      <c r="I144" s="36"/>
      <c r="AD144" s="54"/>
    </row>
    <row r="145" spans="5:9" x14ac:dyDescent="0.3">
      <c r="E145" s="36"/>
      <c r="F145" s="36"/>
      <c r="G145" s="36"/>
      <c r="H145" s="36"/>
      <c r="I145" s="36"/>
    </row>
    <row r="146" spans="5:9" x14ac:dyDescent="0.3">
      <c r="E146" s="36"/>
      <c r="F146" s="36"/>
      <c r="G146" s="36"/>
      <c r="H146" s="36"/>
      <c r="I146" s="36"/>
    </row>
    <row r="147" spans="5:9" x14ac:dyDescent="0.3">
      <c r="E147" s="36"/>
      <c r="F147" s="36"/>
      <c r="G147" s="36"/>
      <c r="H147" s="36"/>
      <c r="I147" s="36"/>
    </row>
    <row r="148" spans="5:9" x14ac:dyDescent="0.3">
      <c r="E148" s="36"/>
      <c r="F148" s="36"/>
      <c r="G148" s="36"/>
      <c r="H148" s="36"/>
      <c r="I148" s="36"/>
    </row>
    <row r="149" spans="5:9" x14ac:dyDescent="0.3">
      <c r="E149" s="36"/>
      <c r="F149" s="36"/>
      <c r="G149" s="36"/>
      <c r="H149" s="36"/>
      <c r="I149" s="36"/>
    </row>
    <row r="150" spans="5:9" x14ac:dyDescent="0.3">
      <c r="E150" s="36"/>
      <c r="F150" s="36"/>
      <c r="G150" s="36"/>
      <c r="H150" s="36"/>
      <c r="I150" s="36"/>
    </row>
    <row r="151" spans="5:9" x14ac:dyDescent="0.3">
      <c r="E151" s="36"/>
      <c r="F151" s="36"/>
      <c r="G151" s="36"/>
      <c r="H151" s="36"/>
      <c r="I151" s="36"/>
    </row>
    <row r="152" spans="5:9" x14ac:dyDescent="0.3">
      <c r="E152" s="36"/>
      <c r="F152" s="36"/>
      <c r="G152" s="36"/>
      <c r="H152" s="36"/>
      <c r="I152" s="36"/>
    </row>
    <row r="153" spans="5:9" x14ac:dyDescent="0.3">
      <c r="E153" s="36"/>
      <c r="F153" s="36"/>
      <c r="G153" s="36"/>
      <c r="H153" s="36"/>
      <c r="I153" s="36"/>
    </row>
    <row r="154" spans="5:9" x14ac:dyDescent="0.3">
      <c r="E154" s="36"/>
      <c r="F154" s="36"/>
      <c r="G154" s="36"/>
      <c r="H154" s="36"/>
      <c r="I154" s="36"/>
    </row>
    <row r="155" spans="5:9" x14ac:dyDescent="0.3">
      <c r="E155" s="36"/>
      <c r="F155" s="36"/>
      <c r="G155" s="36"/>
      <c r="H155" s="36"/>
      <c r="I155" s="36"/>
    </row>
    <row r="156" spans="5:9" x14ac:dyDescent="0.3">
      <c r="E156" s="36"/>
      <c r="F156" s="36"/>
      <c r="G156" s="36"/>
      <c r="H156" s="36"/>
      <c r="I156" s="36"/>
    </row>
    <row r="157" spans="5:9" x14ac:dyDescent="0.3">
      <c r="E157" s="36"/>
      <c r="F157" s="36"/>
      <c r="G157" s="36"/>
      <c r="H157" s="36"/>
      <c r="I157" s="36"/>
    </row>
    <row r="158" spans="5:9" x14ac:dyDescent="0.3">
      <c r="E158" s="36"/>
      <c r="F158" s="36"/>
      <c r="G158" s="36"/>
      <c r="H158" s="36"/>
      <c r="I158" s="36"/>
    </row>
    <row r="159" spans="5:9" x14ac:dyDescent="0.3">
      <c r="E159" s="36"/>
      <c r="F159" s="36"/>
      <c r="G159" s="36"/>
      <c r="H159" s="36"/>
      <c r="I159" s="36"/>
    </row>
    <row r="160" spans="5:9" x14ac:dyDescent="0.3">
      <c r="E160" s="36"/>
      <c r="F160" s="36"/>
      <c r="G160" s="36"/>
      <c r="H160" s="36"/>
      <c r="I160" s="36"/>
    </row>
    <row r="161" spans="5:9" x14ac:dyDescent="0.3">
      <c r="E161" s="36"/>
      <c r="F161" s="36"/>
      <c r="G161" s="36"/>
      <c r="H161" s="36"/>
      <c r="I161" s="36"/>
    </row>
    <row r="162" spans="5:9" x14ac:dyDescent="0.3">
      <c r="E162" s="36"/>
      <c r="F162" s="36"/>
      <c r="G162" s="36"/>
      <c r="H162" s="36"/>
      <c r="I162" s="36"/>
    </row>
    <row r="163" spans="5:9" x14ac:dyDescent="0.3">
      <c r="E163" s="36"/>
      <c r="F163" s="36"/>
      <c r="G163" s="36"/>
      <c r="H163" s="36"/>
      <c r="I163" s="36"/>
    </row>
    <row r="164" spans="5:9" x14ac:dyDescent="0.3">
      <c r="E164" s="36"/>
      <c r="F164" s="36"/>
      <c r="G164" s="36"/>
      <c r="H164" s="36"/>
      <c r="I164" s="36"/>
    </row>
    <row r="165" spans="5:9" x14ac:dyDescent="0.3">
      <c r="E165" s="36"/>
      <c r="F165" s="36"/>
      <c r="G165" s="36"/>
      <c r="H165" s="36"/>
      <c r="I165" s="36"/>
    </row>
    <row r="166" spans="5:9" x14ac:dyDescent="0.3">
      <c r="E166" s="36"/>
      <c r="F166" s="36"/>
      <c r="G166" s="36"/>
      <c r="H166" s="36"/>
      <c r="I166" s="36"/>
    </row>
    <row r="167" spans="5:9" x14ac:dyDescent="0.3">
      <c r="E167" s="36"/>
      <c r="F167" s="36"/>
      <c r="G167" s="36"/>
      <c r="H167" s="36"/>
      <c r="I167" s="36"/>
    </row>
    <row r="168" spans="5:9" x14ac:dyDescent="0.3">
      <c r="E168" s="36"/>
      <c r="F168" s="36"/>
      <c r="G168" s="36"/>
      <c r="H168" s="36"/>
      <c r="I168" s="36"/>
    </row>
    <row r="169" spans="5:9" x14ac:dyDescent="0.3">
      <c r="E169" s="36"/>
      <c r="F169" s="36"/>
      <c r="G169" s="36"/>
      <c r="H169" s="36"/>
      <c r="I169" s="36"/>
    </row>
    <row r="170" spans="5:9" x14ac:dyDescent="0.3">
      <c r="E170" s="36"/>
      <c r="F170" s="36"/>
      <c r="G170" s="36"/>
      <c r="H170" s="36"/>
      <c r="I170" s="36"/>
    </row>
    <row r="171" spans="5:9" x14ac:dyDescent="0.3">
      <c r="E171" s="36"/>
      <c r="F171" s="36"/>
      <c r="G171" s="36"/>
      <c r="H171" s="36"/>
      <c r="I171" s="36"/>
    </row>
    <row r="172" spans="5:9" x14ac:dyDescent="0.3">
      <c r="E172" s="36"/>
      <c r="F172" s="36"/>
      <c r="G172" s="36"/>
      <c r="H172" s="36"/>
      <c r="I172" s="36"/>
    </row>
    <row r="173" spans="5:9" x14ac:dyDescent="0.3">
      <c r="E173" s="36"/>
      <c r="F173" s="36"/>
      <c r="G173" s="36"/>
      <c r="H173" s="36"/>
      <c r="I173" s="36"/>
    </row>
    <row r="174" spans="5:9" x14ac:dyDescent="0.3">
      <c r="E174" s="36"/>
      <c r="F174" s="36"/>
      <c r="G174" s="36"/>
      <c r="H174" s="36"/>
      <c r="I174" s="36"/>
    </row>
    <row r="175" spans="5:9" x14ac:dyDescent="0.3">
      <c r="E175" s="36"/>
      <c r="F175" s="36"/>
      <c r="G175" s="36"/>
      <c r="H175" s="36"/>
      <c r="I175" s="36"/>
    </row>
    <row r="176" spans="5:9" x14ac:dyDescent="0.3">
      <c r="E176" s="36"/>
      <c r="F176" s="36"/>
      <c r="G176" s="36"/>
      <c r="H176" s="36"/>
      <c r="I176" s="36"/>
    </row>
    <row r="177" spans="5:9" x14ac:dyDescent="0.3">
      <c r="E177" s="36"/>
      <c r="F177" s="36"/>
      <c r="G177" s="36"/>
      <c r="H177" s="36"/>
      <c r="I177" s="36"/>
    </row>
    <row r="178" spans="5:9" x14ac:dyDescent="0.3">
      <c r="E178" s="36"/>
      <c r="F178" s="36"/>
      <c r="G178" s="36"/>
      <c r="H178" s="36"/>
      <c r="I178" s="36"/>
    </row>
    <row r="179" spans="5:9" x14ac:dyDescent="0.3">
      <c r="E179" s="36"/>
      <c r="F179" s="36"/>
      <c r="G179" s="36"/>
      <c r="H179" s="36"/>
      <c r="I179" s="36"/>
    </row>
    <row r="180" spans="5:9" x14ac:dyDescent="0.3">
      <c r="E180" s="36"/>
      <c r="F180" s="36"/>
      <c r="G180" s="36"/>
      <c r="H180" s="36"/>
      <c r="I180" s="36"/>
    </row>
    <row r="181" spans="5:9" x14ac:dyDescent="0.3">
      <c r="E181" s="36"/>
      <c r="F181" s="36"/>
      <c r="G181" s="36"/>
      <c r="H181" s="36"/>
      <c r="I181" s="36"/>
    </row>
    <row r="182" spans="5:9" x14ac:dyDescent="0.3">
      <c r="E182" s="36"/>
      <c r="F182" s="36"/>
      <c r="G182" s="36"/>
      <c r="H182" s="36"/>
      <c r="I182" s="36"/>
    </row>
    <row r="183" spans="5:9" x14ac:dyDescent="0.3">
      <c r="E183" s="36"/>
      <c r="F183" s="36"/>
      <c r="G183" s="36"/>
      <c r="H183" s="36"/>
      <c r="I183" s="36"/>
    </row>
    <row r="184" spans="5:9" x14ac:dyDescent="0.3">
      <c r="E184" s="36"/>
      <c r="F184" s="36"/>
      <c r="G184" s="36"/>
      <c r="H184" s="36"/>
      <c r="I184" s="36"/>
    </row>
    <row r="185" spans="5:9" x14ac:dyDescent="0.3">
      <c r="E185" s="36"/>
      <c r="F185" s="36"/>
      <c r="G185" s="36"/>
      <c r="H185" s="36"/>
      <c r="I185" s="36"/>
    </row>
    <row r="186" spans="5:9" x14ac:dyDescent="0.3">
      <c r="E186" s="36"/>
      <c r="F186" s="36"/>
      <c r="G186" s="36"/>
      <c r="H186" s="36"/>
      <c r="I186" s="36"/>
    </row>
    <row r="187" spans="5:9" x14ac:dyDescent="0.3">
      <c r="E187" s="36"/>
      <c r="F187" s="36"/>
      <c r="G187" s="36"/>
      <c r="H187" s="36"/>
      <c r="I187" s="36"/>
    </row>
    <row r="188" spans="5:9" x14ac:dyDescent="0.3">
      <c r="E188" s="36"/>
      <c r="F188" s="36"/>
      <c r="G188" s="36"/>
      <c r="H188" s="36"/>
      <c r="I188" s="36"/>
    </row>
    <row r="189" spans="5:9" x14ac:dyDescent="0.3">
      <c r="E189" s="36"/>
      <c r="F189" s="36"/>
      <c r="G189" s="36"/>
      <c r="H189" s="36"/>
      <c r="I189" s="36"/>
    </row>
    <row r="190" spans="5:9" x14ac:dyDescent="0.3">
      <c r="E190" s="36"/>
      <c r="F190" s="36"/>
      <c r="G190" s="36"/>
      <c r="H190" s="36"/>
      <c r="I190" s="36"/>
    </row>
    <row r="191" spans="5:9" x14ac:dyDescent="0.3">
      <c r="E191" s="36"/>
      <c r="F191" s="36"/>
      <c r="G191" s="36"/>
      <c r="H191" s="36"/>
      <c r="I191" s="36"/>
    </row>
    <row r="192" spans="5:9" x14ac:dyDescent="0.3">
      <c r="E192" s="36"/>
      <c r="F192" s="36"/>
      <c r="G192" s="36"/>
      <c r="H192" s="36"/>
      <c r="I192" s="36"/>
    </row>
    <row r="193" spans="5:9" x14ac:dyDescent="0.3">
      <c r="E193" s="36"/>
      <c r="F193" s="36"/>
      <c r="G193" s="36"/>
      <c r="H193" s="36"/>
      <c r="I193" s="36"/>
    </row>
    <row r="194" spans="5:9" x14ac:dyDescent="0.3">
      <c r="E194" s="36"/>
      <c r="F194" s="36"/>
      <c r="G194" s="36"/>
      <c r="H194" s="36"/>
      <c r="I194" s="36"/>
    </row>
    <row r="195" spans="5:9" x14ac:dyDescent="0.3">
      <c r="E195" s="36"/>
      <c r="F195" s="36"/>
      <c r="G195" s="36"/>
      <c r="H195" s="36"/>
      <c r="I195" s="36"/>
    </row>
    <row r="196" spans="5:9" x14ac:dyDescent="0.3">
      <c r="E196" s="36"/>
      <c r="F196" s="36"/>
      <c r="G196" s="36"/>
      <c r="H196" s="36"/>
      <c r="I196" s="36"/>
    </row>
    <row r="197" spans="5:9" x14ac:dyDescent="0.3">
      <c r="E197" s="36"/>
      <c r="F197" s="36"/>
      <c r="G197" s="36"/>
      <c r="H197" s="36"/>
      <c r="I197" s="36"/>
    </row>
    <row r="198" spans="5:9" x14ac:dyDescent="0.3">
      <c r="E198" s="36"/>
      <c r="F198" s="36"/>
      <c r="G198" s="36"/>
      <c r="H198" s="36"/>
      <c r="I198" s="36"/>
    </row>
    <row r="199" spans="5:9" x14ac:dyDescent="0.3">
      <c r="E199" s="36"/>
      <c r="F199" s="36"/>
      <c r="G199" s="36"/>
      <c r="H199" s="36"/>
      <c r="I199" s="36"/>
    </row>
    <row r="200" spans="5:9" x14ac:dyDescent="0.3">
      <c r="E200" s="36"/>
      <c r="F200" s="36"/>
      <c r="G200" s="36"/>
      <c r="H200" s="36"/>
      <c r="I200" s="36"/>
    </row>
    <row r="201" spans="5:9" x14ac:dyDescent="0.3">
      <c r="E201" s="36"/>
      <c r="F201" s="36"/>
      <c r="G201" s="36"/>
      <c r="H201" s="36"/>
      <c r="I201" s="36"/>
    </row>
    <row r="202" spans="5:9" x14ac:dyDescent="0.3">
      <c r="E202" s="36"/>
      <c r="F202" s="36"/>
      <c r="G202" s="36"/>
      <c r="H202" s="36"/>
      <c r="I202" s="36"/>
    </row>
    <row r="203" spans="5:9" x14ac:dyDescent="0.3">
      <c r="E203" s="36"/>
      <c r="F203" s="36"/>
      <c r="G203" s="36"/>
      <c r="H203" s="36"/>
      <c r="I203" s="36"/>
    </row>
    <row r="204" spans="5:9" x14ac:dyDescent="0.3">
      <c r="E204" s="36"/>
      <c r="F204" s="36"/>
      <c r="G204" s="36"/>
      <c r="H204" s="36"/>
      <c r="I204" s="36"/>
    </row>
    <row r="205" spans="5:9" x14ac:dyDescent="0.3">
      <c r="E205" s="36"/>
      <c r="F205" s="36"/>
      <c r="G205" s="36"/>
      <c r="H205" s="36"/>
      <c r="I205" s="36"/>
    </row>
    <row r="206" spans="5:9" x14ac:dyDescent="0.3">
      <c r="E206" s="36"/>
      <c r="F206" s="36"/>
      <c r="G206" s="36"/>
      <c r="H206" s="36"/>
      <c r="I206" s="36"/>
    </row>
    <row r="207" spans="5:9" x14ac:dyDescent="0.3">
      <c r="E207" s="36"/>
      <c r="F207" s="36"/>
      <c r="G207" s="36"/>
      <c r="H207" s="36"/>
      <c r="I207" s="36"/>
    </row>
    <row r="208" spans="5:9" x14ac:dyDescent="0.3">
      <c r="E208" s="36"/>
      <c r="F208" s="36"/>
      <c r="G208" s="36"/>
      <c r="H208" s="36"/>
      <c r="I208" s="36"/>
    </row>
    <row r="209" spans="5:9" x14ac:dyDescent="0.3">
      <c r="E209" s="36"/>
      <c r="F209" s="36"/>
      <c r="G209" s="36"/>
      <c r="H209" s="36"/>
      <c r="I209" s="36"/>
    </row>
    <row r="210" spans="5:9" x14ac:dyDescent="0.3">
      <c r="E210" s="36"/>
      <c r="F210" s="36"/>
      <c r="G210" s="36"/>
      <c r="H210" s="36"/>
      <c r="I210" s="36"/>
    </row>
    <row r="211" spans="5:9" x14ac:dyDescent="0.3">
      <c r="E211" s="36"/>
      <c r="F211" s="36"/>
      <c r="G211" s="36"/>
      <c r="H211" s="36"/>
      <c r="I211" s="36"/>
    </row>
    <row r="212" spans="5:9" x14ac:dyDescent="0.3">
      <c r="E212" s="36"/>
      <c r="F212" s="36"/>
      <c r="G212" s="36"/>
      <c r="H212" s="36"/>
      <c r="I212" s="36"/>
    </row>
    <row r="213" spans="5:9" x14ac:dyDescent="0.3">
      <c r="E213" s="36"/>
      <c r="F213" s="36"/>
      <c r="G213" s="36"/>
      <c r="H213" s="36"/>
      <c r="I213" s="36"/>
    </row>
    <row r="214" spans="5:9" x14ac:dyDescent="0.3">
      <c r="E214" s="36"/>
      <c r="F214" s="36"/>
      <c r="G214" s="36"/>
      <c r="H214" s="36"/>
      <c r="I214" s="36"/>
    </row>
    <row r="215" spans="5:9" x14ac:dyDescent="0.3">
      <c r="E215" s="36"/>
      <c r="F215" s="36"/>
      <c r="G215" s="36"/>
      <c r="H215" s="36"/>
      <c r="I215" s="36"/>
    </row>
    <row r="216" spans="5:9" x14ac:dyDescent="0.3">
      <c r="E216" s="36"/>
      <c r="F216" s="36"/>
      <c r="G216" s="36"/>
      <c r="H216" s="36"/>
      <c r="I216" s="36"/>
    </row>
    <row r="217" spans="5:9" x14ac:dyDescent="0.3">
      <c r="E217" s="36"/>
      <c r="F217" s="36"/>
      <c r="G217" s="36"/>
      <c r="H217" s="36"/>
      <c r="I217" s="36"/>
    </row>
    <row r="218" spans="5:9" x14ac:dyDescent="0.3">
      <c r="E218" s="36"/>
      <c r="F218" s="36"/>
      <c r="G218" s="36"/>
      <c r="H218" s="36"/>
      <c r="I218" s="36"/>
    </row>
    <row r="219" spans="5:9" x14ac:dyDescent="0.3">
      <c r="E219" s="36"/>
      <c r="F219" s="36"/>
      <c r="G219" s="36"/>
      <c r="H219" s="36"/>
      <c r="I219" s="36"/>
    </row>
    <row r="220" spans="5:9" x14ac:dyDescent="0.3">
      <c r="E220" s="36"/>
      <c r="F220" s="36"/>
      <c r="G220" s="36"/>
      <c r="H220" s="36"/>
      <c r="I220" s="36"/>
    </row>
    <row r="221" spans="5:9" x14ac:dyDescent="0.3">
      <c r="E221" s="36"/>
      <c r="F221" s="36"/>
      <c r="G221" s="36"/>
      <c r="H221" s="36"/>
      <c r="I221" s="36"/>
    </row>
    <row r="222" spans="5:9" x14ac:dyDescent="0.3">
      <c r="E222" s="36"/>
      <c r="F222" s="36"/>
      <c r="G222" s="36"/>
      <c r="H222" s="36"/>
      <c r="I222" s="36"/>
    </row>
    <row r="223" spans="5:9" x14ac:dyDescent="0.3">
      <c r="E223" s="36"/>
      <c r="F223" s="36"/>
      <c r="G223" s="36"/>
      <c r="H223" s="36"/>
      <c r="I223" s="36"/>
    </row>
    <row r="224" spans="5:9" x14ac:dyDescent="0.3">
      <c r="E224" s="36"/>
      <c r="F224" s="36"/>
      <c r="G224" s="36"/>
      <c r="H224" s="36"/>
      <c r="I224" s="36"/>
    </row>
    <row r="225" spans="5:9" x14ac:dyDescent="0.3">
      <c r="E225" s="36"/>
      <c r="F225" s="36"/>
      <c r="G225" s="36"/>
      <c r="H225" s="36"/>
      <c r="I225" s="36"/>
    </row>
    <row r="226" spans="5:9" x14ac:dyDescent="0.3">
      <c r="E226" s="36"/>
      <c r="F226" s="36"/>
      <c r="G226" s="36"/>
      <c r="H226" s="36"/>
      <c r="I226" s="36"/>
    </row>
    <row r="227" spans="5:9" x14ac:dyDescent="0.3">
      <c r="E227" s="36"/>
      <c r="F227" s="36"/>
      <c r="G227" s="36"/>
      <c r="H227" s="36"/>
      <c r="I227" s="36"/>
    </row>
    <row r="228" spans="5:9" x14ac:dyDescent="0.3">
      <c r="E228" s="36"/>
      <c r="F228" s="36"/>
      <c r="G228" s="36"/>
      <c r="H228" s="36"/>
      <c r="I228" s="36"/>
    </row>
    <row r="229" spans="5:9" x14ac:dyDescent="0.3">
      <c r="E229" s="36"/>
      <c r="F229" s="36"/>
      <c r="G229" s="36"/>
      <c r="H229" s="36"/>
      <c r="I229" s="36"/>
    </row>
    <row r="230" spans="5:9" x14ac:dyDescent="0.3">
      <c r="E230" s="36"/>
      <c r="F230" s="36"/>
      <c r="G230" s="36"/>
      <c r="H230" s="36"/>
      <c r="I230" s="36"/>
    </row>
    <row r="231" spans="5:9" x14ac:dyDescent="0.3">
      <c r="E231" s="36"/>
      <c r="F231" s="36"/>
      <c r="G231" s="36"/>
      <c r="H231" s="36"/>
      <c r="I231" s="36"/>
    </row>
    <row r="232" spans="5:9" x14ac:dyDescent="0.3">
      <c r="E232" s="36"/>
      <c r="F232" s="36"/>
      <c r="G232" s="36"/>
      <c r="H232" s="36"/>
      <c r="I232" s="36"/>
    </row>
    <row r="233" spans="5:9" x14ac:dyDescent="0.3">
      <c r="E233" s="36"/>
      <c r="F233" s="36"/>
      <c r="G233" s="36"/>
      <c r="H233" s="36"/>
      <c r="I233" s="36"/>
    </row>
    <row r="234" spans="5:9" x14ac:dyDescent="0.3">
      <c r="E234" s="36"/>
      <c r="F234" s="36"/>
      <c r="G234" s="36"/>
      <c r="H234" s="36"/>
      <c r="I234" s="36"/>
    </row>
    <row r="235" spans="5:9" x14ac:dyDescent="0.3">
      <c r="E235" s="36"/>
      <c r="F235" s="36"/>
      <c r="G235" s="36"/>
      <c r="H235" s="36"/>
      <c r="I235" s="36"/>
    </row>
    <row r="236" spans="5:9" x14ac:dyDescent="0.3">
      <c r="E236" s="36"/>
      <c r="F236" s="36"/>
      <c r="G236" s="36"/>
      <c r="H236" s="36"/>
      <c r="I236" s="36"/>
    </row>
    <row r="237" spans="5:9" x14ac:dyDescent="0.3">
      <c r="E237" s="36"/>
      <c r="F237" s="36"/>
      <c r="G237" s="36"/>
      <c r="H237" s="36"/>
      <c r="I237" s="36"/>
    </row>
    <row r="238" spans="5:9" x14ac:dyDescent="0.3">
      <c r="E238" s="36"/>
      <c r="F238" s="36"/>
      <c r="G238" s="36"/>
      <c r="H238" s="36"/>
      <c r="I238" s="36"/>
    </row>
    <row r="239" spans="5:9" x14ac:dyDescent="0.3">
      <c r="E239" s="36"/>
      <c r="F239" s="36"/>
      <c r="G239" s="36"/>
      <c r="H239" s="36"/>
      <c r="I239" s="36"/>
    </row>
    <row r="240" spans="5:9" x14ac:dyDescent="0.3">
      <c r="E240" s="36"/>
      <c r="F240" s="36"/>
      <c r="G240" s="36"/>
      <c r="H240" s="36"/>
      <c r="I240" s="36"/>
    </row>
    <row r="241" spans="5:9" x14ac:dyDescent="0.3">
      <c r="E241" s="36"/>
      <c r="F241" s="36"/>
      <c r="G241" s="36"/>
      <c r="H241" s="36"/>
      <c r="I241" s="36"/>
    </row>
    <row r="242" spans="5:9" x14ac:dyDescent="0.3">
      <c r="E242" s="36"/>
      <c r="F242" s="36"/>
      <c r="G242" s="36"/>
      <c r="H242" s="36"/>
      <c r="I242" s="36"/>
    </row>
    <row r="243" spans="5:9" x14ac:dyDescent="0.3">
      <c r="E243" s="36"/>
      <c r="F243" s="36"/>
      <c r="G243" s="36"/>
      <c r="H243" s="36"/>
      <c r="I243" s="36"/>
    </row>
    <row r="244" spans="5:9" x14ac:dyDescent="0.3">
      <c r="E244" s="36"/>
      <c r="F244" s="36"/>
      <c r="G244" s="36"/>
      <c r="H244" s="36"/>
      <c r="I244" s="36"/>
    </row>
    <row r="245" spans="5:9" x14ac:dyDescent="0.3">
      <c r="E245" s="36"/>
      <c r="F245" s="36"/>
      <c r="G245" s="36"/>
      <c r="H245" s="36"/>
      <c r="I245" s="36"/>
    </row>
    <row r="246" spans="5:9" x14ac:dyDescent="0.3">
      <c r="E246" s="36"/>
      <c r="F246" s="36"/>
      <c r="G246" s="36"/>
      <c r="H246" s="36"/>
      <c r="I246" s="36"/>
    </row>
    <row r="247" spans="5:9" x14ac:dyDescent="0.3">
      <c r="E247" s="36"/>
      <c r="F247" s="36"/>
      <c r="G247" s="36"/>
      <c r="H247" s="36"/>
      <c r="I247" s="36"/>
    </row>
    <row r="248" spans="5:9" x14ac:dyDescent="0.3">
      <c r="E248" s="36"/>
      <c r="F248" s="36"/>
      <c r="G248" s="36"/>
      <c r="H248" s="36"/>
      <c r="I248" s="36"/>
    </row>
    <row r="249" spans="5:9" x14ac:dyDescent="0.3">
      <c r="E249" s="36"/>
      <c r="F249" s="36"/>
      <c r="G249" s="36"/>
      <c r="H249" s="36"/>
      <c r="I249" s="36"/>
    </row>
    <row r="250" spans="5:9" x14ac:dyDescent="0.3">
      <c r="E250" s="36"/>
      <c r="F250" s="36"/>
      <c r="G250" s="36"/>
      <c r="H250" s="36"/>
      <c r="I250" s="36"/>
    </row>
    <row r="251" spans="5:9" x14ac:dyDescent="0.3">
      <c r="E251" s="36"/>
      <c r="F251" s="36"/>
      <c r="G251" s="36"/>
      <c r="H251" s="36"/>
      <c r="I251" s="36"/>
    </row>
    <row r="252" spans="5:9" x14ac:dyDescent="0.3">
      <c r="E252" s="36"/>
      <c r="F252" s="36"/>
      <c r="G252" s="36"/>
      <c r="H252" s="36"/>
      <c r="I252" s="36"/>
    </row>
    <row r="253" spans="5:9" x14ac:dyDescent="0.3">
      <c r="E253" s="36"/>
      <c r="F253" s="36"/>
      <c r="G253" s="36"/>
      <c r="H253" s="36"/>
      <c r="I253" s="36"/>
    </row>
    <row r="254" spans="5:9" x14ac:dyDescent="0.3">
      <c r="E254" s="36"/>
      <c r="F254" s="36"/>
      <c r="G254" s="36"/>
      <c r="H254" s="36"/>
      <c r="I254" s="36"/>
    </row>
    <row r="255" spans="5:9" x14ac:dyDescent="0.3">
      <c r="E255" s="36"/>
      <c r="F255" s="36"/>
      <c r="G255" s="36"/>
      <c r="H255" s="36"/>
      <c r="I255" s="36"/>
    </row>
    <row r="256" spans="5:9" x14ac:dyDescent="0.3">
      <c r="E256" s="36"/>
      <c r="F256" s="36"/>
      <c r="G256" s="36"/>
      <c r="H256" s="36"/>
      <c r="I256" s="36"/>
    </row>
    <row r="257" spans="5:9" x14ac:dyDescent="0.3">
      <c r="E257" s="36"/>
      <c r="F257" s="36"/>
      <c r="G257" s="36"/>
      <c r="H257" s="36"/>
      <c r="I257" s="36"/>
    </row>
    <row r="258" spans="5:9" x14ac:dyDescent="0.3">
      <c r="E258" s="36"/>
      <c r="F258" s="36"/>
      <c r="G258" s="36"/>
      <c r="H258" s="36"/>
      <c r="I258" s="36"/>
    </row>
    <row r="259" spans="5:9" x14ac:dyDescent="0.3">
      <c r="E259" s="36"/>
      <c r="F259" s="36"/>
      <c r="G259" s="36"/>
      <c r="H259" s="36"/>
      <c r="I259" s="36"/>
    </row>
    <row r="260" spans="5:9" x14ac:dyDescent="0.3">
      <c r="E260" s="36"/>
      <c r="F260" s="36"/>
      <c r="G260" s="36"/>
      <c r="H260" s="36"/>
      <c r="I260" s="36"/>
    </row>
    <row r="261" spans="5:9" x14ac:dyDescent="0.3">
      <c r="E261" s="36"/>
      <c r="F261" s="36"/>
      <c r="G261" s="36"/>
      <c r="H261" s="36"/>
      <c r="I261" s="36"/>
    </row>
    <row r="262" spans="5:9" x14ac:dyDescent="0.3">
      <c r="E262" s="36"/>
      <c r="F262" s="36"/>
      <c r="G262" s="36"/>
      <c r="H262" s="36"/>
      <c r="I262" s="36"/>
    </row>
    <row r="263" spans="5:9" x14ac:dyDescent="0.3">
      <c r="E263" s="36"/>
      <c r="F263" s="36"/>
      <c r="G263" s="36"/>
      <c r="H263" s="36"/>
      <c r="I263" s="36"/>
    </row>
    <row r="264" spans="5:9" x14ac:dyDescent="0.3">
      <c r="E264" s="36"/>
      <c r="F264" s="36"/>
      <c r="G264" s="36"/>
      <c r="H264" s="36"/>
      <c r="I264" s="36"/>
    </row>
    <row r="265" spans="5:9" x14ac:dyDescent="0.3">
      <c r="E265" s="36"/>
      <c r="F265" s="36"/>
      <c r="G265" s="36"/>
      <c r="H265" s="36"/>
      <c r="I265" s="36"/>
    </row>
    <row r="266" spans="5:9" x14ac:dyDescent="0.3">
      <c r="E266" s="36"/>
      <c r="F266" s="36"/>
      <c r="G266" s="36"/>
      <c r="H266" s="36"/>
      <c r="I266" s="36"/>
    </row>
    <row r="267" spans="5:9" x14ac:dyDescent="0.3">
      <c r="E267" s="36"/>
      <c r="F267" s="36"/>
      <c r="G267" s="36"/>
      <c r="H267" s="36"/>
      <c r="I267" s="36"/>
    </row>
    <row r="268" spans="5:9" x14ac:dyDescent="0.3">
      <c r="E268" s="36"/>
      <c r="F268" s="36"/>
      <c r="G268" s="36"/>
      <c r="H268" s="36"/>
      <c r="I268" s="36"/>
    </row>
    <row r="269" spans="5:9" x14ac:dyDescent="0.3">
      <c r="E269" s="36"/>
      <c r="F269" s="36"/>
      <c r="G269" s="36"/>
      <c r="H269" s="36"/>
      <c r="I269" s="36"/>
    </row>
    <row r="270" spans="5:9" x14ac:dyDescent="0.3">
      <c r="E270" s="36"/>
      <c r="F270" s="36"/>
      <c r="G270" s="36"/>
      <c r="H270" s="36"/>
      <c r="I270" s="36"/>
    </row>
    <row r="271" spans="5:9" x14ac:dyDescent="0.3">
      <c r="E271" s="36"/>
      <c r="F271" s="36"/>
      <c r="G271" s="36"/>
      <c r="H271" s="36"/>
      <c r="I271" s="36"/>
    </row>
    <row r="272" spans="5:9" x14ac:dyDescent="0.3">
      <c r="E272" s="36"/>
      <c r="F272" s="36"/>
      <c r="G272" s="36"/>
      <c r="H272" s="36"/>
      <c r="I272" s="36"/>
    </row>
    <row r="273" spans="5:9" x14ac:dyDescent="0.3">
      <c r="E273" s="36"/>
      <c r="F273" s="36"/>
      <c r="G273" s="36"/>
      <c r="H273" s="36"/>
      <c r="I273" s="36"/>
    </row>
    <row r="274" spans="5:9" x14ac:dyDescent="0.3">
      <c r="E274" s="36"/>
      <c r="F274" s="36"/>
      <c r="G274" s="36"/>
      <c r="H274" s="36"/>
      <c r="I274" s="36"/>
    </row>
    <row r="275" spans="5:9" x14ac:dyDescent="0.3">
      <c r="E275" s="36"/>
      <c r="F275" s="36"/>
      <c r="G275" s="36"/>
      <c r="H275" s="36"/>
      <c r="I275" s="36"/>
    </row>
    <row r="276" spans="5:9" x14ac:dyDescent="0.3">
      <c r="E276" s="36"/>
      <c r="F276" s="36"/>
      <c r="G276" s="36"/>
      <c r="H276" s="36"/>
      <c r="I276" s="36"/>
    </row>
    <row r="277" spans="5:9" x14ac:dyDescent="0.3">
      <c r="E277" s="36"/>
      <c r="F277" s="36"/>
      <c r="G277" s="36"/>
      <c r="H277" s="36"/>
      <c r="I277" s="36"/>
    </row>
    <row r="278" spans="5:9" x14ac:dyDescent="0.3">
      <c r="E278" s="36"/>
      <c r="F278" s="36"/>
      <c r="G278" s="36"/>
      <c r="H278" s="36"/>
      <c r="I278" s="36"/>
    </row>
    <row r="279" spans="5:9" x14ac:dyDescent="0.3">
      <c r="E279" s="36"/>
      <c r="F279" s="36"/>
      <c r="G279" s="36"/>
      <c r="H279" s="36"/>
      <c r="I279" s="36"/>
    </row>
    <row r="280" spans="5:9" x14ac:dyDescent="0.3">
      <c r="E280" s="36"/>
      <c r="F280" s="36"/>
      <c r="G280" s="36"/>
      <c r="H280" s="36"/>
      <c r="I280" s="36"/>
    </row>
    <row r="281" spans="5:9" x14ac:dyDescent="0.3">
      <c r="E281" s="36"/>
      <c r="F281" s="36"/>
      <c r="G281" s="36"/>
      <c r="H281" s="36"/>
      <c r="I281" s="36"/>
    </row>
    <row r="282" spans="5:9" x14ac:dyDescent="0.3">
      <c r="E282" s="36"/>
      <c r="F282" s="36"/>
      <c r="G282" s="36"/>
      <c r="H282" s="36"/>
      <c r="I282" s="36"/>
    </row>
    <row r="283" spans="5:9" x14ac:dyDescent="0.3">
      <c r="E283" s="36"/>
      <c r="F283" s="36"/>
      <c r="G283" s="36"/>
      <c r="H283" s="36"/>
      <c r="I283" s="36"/>
    </row>
    <row r="284" spans="5:9" x14ac:dyDescent="0.3">
      <c r="E284" s="36"/>
      <c r="F284" s="36"/>
      <c r="G284" s="36"/>
      <c r="H284" s="36"/>
      <c r="I284" s="36"/>
    </row>
    <row r="285" spans="5:9" x14ac:dyDescent="0.3">
      <c r="E285" s="36"/>
      <c r="F285" s="36"/>
      <c r="G285" s="36"/>
      <c r="H285" s="36"/>
      <c r="I285" s="36"/>
    </row>
    <row r="286" spans="5:9" x14ac:dyDescent="0.3">
      <c r="E286" s="36"/>
      <c r="F286" s="36"/>
      <c r="G286" s="36"/>
      <c r="H286" s="36"/>
      <c r="I286" s="36"/>
    </row>
    <row r="287" spans="5:9" x14ac:dyDescent="0.3">
      <c r="E287" s="36"/>
      <c r="F287" s="36"/>
      <c r="G287" s="36"/>
      <c r="H287" s="36"/>
      <c r="I287" s="36"/>
    </row>
    <row r="288" spans="5:9" x14ac:dyDescent="0.3">
      <c r="E288" s="36"/>
      <c r="F288" s="36"/>
      <c r="G288" s="36"/>
      <c r="H288" s="36"/>
      <c r="I288" s="36"/>
    </row>
    <row r="289" spans="5:9" x14ac:dyDescent="0.3">
      <c r="E289" s="36"/>
      <c r="F289" s="36"/>
      <c r="G289" s="36"/>
      <c r="H289" s="36"/>
      <c r="I289" s="36"/>
    </row>
    <row r="290" spans="5:9" x14ac:dyDescent="0.3">
      <c r="E290" s="36"/>
      <c r="F290" s="36"/>
      <c r="G290" s="36"/>
      <c r="H290" s="36"/>
      <c r="I290" s="36"/>
    </row>
    <row r="291" spans="5:9" x14ac:dyDescent="0.3">
      <c r="E291" s="36"/>
      <c r="F291" s="36"/>
      <c r="G291" s="36"/>
      <c r="H291" s="36"/>
      <c r="I291" s="36"/>
    </row>
    <row r="292" spans="5:9" x14ac:dyDescent="0.3">
      <c r="E292" s="36"/>
      <c r="F292" s="36"/>
      <c r="G292" s="36"/>
      <c r="H292" s="36"/>
      <c r="I292" s="36"/>
    </row>
    <row r="293" spans="5:9" x14ac:dyDescent="0.3">
      <c r="E293" s="36"/>
      <c r="F293" s="36"/>
      <c r="G293" s="36"/>
      <c r="H293" s="36"/>
      <c r="I293" s="36"/>
    </row>
    <row r="294" spans="5:9" x14ac:dyDescent="0.3">
      <c r="E294" s="36"/>
      <c r="F294" s="36"/>
      <c r="G294" s="36"/>
      <c r="H294" s="36"/>
      <c r="I294" s="36"/>
    </row>
  </sheetData>
  <mergeCells count="50">
    <mergeCell ref="A8:A57"/>
    <mergeCell ref="D8:D57"/>
    <mergeCell ref="A6:A7"/>
    <mergeCell ref="C6:C7"/>
    <mergeCell ref="K6:K7"/>
    <mergeCell ref="E6:I6"/>
    <mergeCell ref="M6:M7"/>
    <mergeCell ref="B8:B57"/>
    <mergeCell ref="C8:C57"/>
    <mergeCell ref="T6:T7"/>
    <mergeCell ref="P6:P7"/>
    <mergeCell ref="Q6:Q7"/>
    <mergeCell ref="R6:R7"/>
    <mergeCell ref="S6:S7"/>
    <mergeCell ref="B6:B7"/>
    <mergeCell ref="L6:L7"/>
    <mergeCell ref="N6:N7"/>
    <mergeCell ref="O6:O7"/>
    <mergeCell ref="AA6:AE6"/>
    <mergeCell ref="U6:U7"/>
    <mergeCell ref="AF6:AF7"/>
    <mergeCell ref="J6:J7"/>
    <mergeCell ref="V6:V7"/>
    <mergeCell ref="W6:Z6"/>
    <mergeCell ref="D6:D7"/>
    <mergeCell ref="D100:D104"/>
    <mergeCell ref="C105:C111"/>
    <mergeCell ref="D105:D111"/>
    <mergeCell ref="A59:A72"/>
    <mergeCell ref="B59:B72"/>
    <mergeCell ref="C59:C67"/>
    <mergeCell ref="D59:D67"/>
    <mergeCell ref="C68:C72"/>
    <mergeCell ref="D68:D72"/>
    <mergeCell ref="A1:Z1"/>
    <mergeCell ref="A113:A133"/>
    <mergeCell ref="B113:B133"/>
    <mergeCell ref="C113:C121"/>
    <mergeCell ref="D113:D121"/>
    <mergeCell ref="C122:C130"/>
    <mergeCell ref="D122:D130"/>
    <mergeCell ref="C131:C133"/>
    <mergeCell ref="D131:D133"/>
    <mergeCell ref="A74:A98"/>
    <mergeCell ref="B74:B98"/>
    <mergeCell ref="C74:C98"/>
    <mergeCell ref="D74:D98"/>
    <mergeCell ref="A100:A111"/>
    <mergeCell ref="B100:B111"/>
    <mergeCell ref="C100:C104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18"/>
  <sheetViews>
    <sheetView showGridLines="0" zoomScale="94" zoomScaleNormal="90" zoomScaleSheetLayoutView="40" workbookViewId="0">
      <selection activeCell="A2" sqref="A2"/>
    </sheetView>
  </sheetViews>
  <sheetFormatPr baseColWidth="10" defaultColWidth="11.44140625" defaultRowHeight="13.8" x14ac:dyDescent="0.3"/>
  <cols>
    <col min="1" max="1" width="11" style="4" customWidth="1"/>
    <col min="2" max="2" width="11.44140625" style="4" customWidth="1"/>
    <col min="3" max="3" width="9.6640625" style="4" customWidth="1"/>
    <col min="4" max="4" width="10.44140625" style="4" customWidth="1"/>
    <col min="5" max="5" width="8.109375" style="4" customWidth="1"/>
    <col min="6" max="8" width="7.6640625" style="4" customWidth="1"/>
    <col min="9" max="9" width="8.6640625" style="4" customWidth="1"/>
    <col min="10" max="10" width="13.44140625" style="4" customWidth="1"/>
    <col min="11" max="11" width="25.6640625" style="5" customWidth="1"/>
    <col min="12" max="12" width="28.88671875" style="6" customWidth="1"/>
    <col min="13" max="13" width="10.5546875" style="6" customWidth="1"/>
    <col min="14" max="15" width="10.33203125" style="6" customWidth="1"/>
    <col min="16" max="16" width="20.6640625" style="6" customWidth="1"/>
    <col min="17" max="20" width="9.33203125" style="1" customWidth="1"/>
    <col min="21" max="21" width="7.6640625" style="7" customWidth="1"/>
    <col min="22" max="22" width="8.44140625" style="7" customWidth="1"/>
    <col min="23" max="25" width="7.6640625" style="1" customWidth="1"/>
    <col min="26" max="26" width="7.5546875" style="1" customWidth="1"/>
    <col min="27" max="30" width="12.5546875" style="1" customWidth="1"/>
    <col min="31" max="31" width="13.88671875" style="1" customWidth="1"/>
    <col min="32" max="32" width="25.6640625" style="1" customWidth="1"/>
    <col min="33" max="16384" width="11.44140625" style="1"/>
  </cols>
  <sheetData>
    <row r="1" spans="1:32" ht="100.05" customHeigh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3" spans="1:32" ht="15.75" customHeight="1" x14ac:dyDescent="0.3">
      <c r="A3" s="15" t="s">
        <v>64</v>
      </c>
      <c r="B3" s="16">
        <v>52</v>
      </c>
      <c r="C3" s="15" t="s">
        <v>1150</v>
      </c>
      <c r="E3" s="10"/>
      <c r="F3" s="10"/>
      <c r="G3" s="10"/>
      <c r="H3" s="10"/>
      <c r="I3" s="10"/>
      <c r="J3" s="11"/>
    </row>
    <row r="4" spans="1:32" ht="15.75" customHeight="1" x14ac:dyDescent="0.3">
      <c r="A4" s="72" t="s">
        <v>2452</v>
      </c>
      <c r="B4" s="11"/>
      <c r="C4" s="79">
        <v>53.003999999999998</v>
      </c>
      <c r="D4" s="72"/>
      <c r="E4" s="72"/>
      <c r="F4" s="72"/>
      <c r="G4" s="72"/>
      <c r="H4" s="72"/>
      <c r="I4" s="72"/>
      <c r="J4" s="11"/>
    </row>
    <row r="6" spans="1:32" s="2" customFormat="1" ht="24" customHeight="1" x14ac:dyDescent="0.3">
      <c r="A6" s="151" t="s">
        <v>65</v>
      </c>
      <c r="B6" s="154" t="s">
        <v>100</v>
      </c>
      <c r="C6" s="151" t="s">
        <v>0</v>
      </c>
      <c r="D6" s="154" t="s">
        <v>9</v>
      </c>
      <c r="E6" s="158" t="s">
        <v>52</v>
      </c>
      <c r="F6" s="158"/>
      <c r="G6" s="158"/>
      <c r="H6" s="158"/>
      <c r="I6" s="158"/>
      <c r="J6" s="151" t="s">
        <v>3</v>
      </c>
      <c r="K6" s="151" t="s">
        <v>6</v>
      </c>
      <c r="L6" s="151" t="s">
        <v>7</v>
      </c>
      <c r="M6" s="151" t="s">
        <v>61</v>
      </c>
      <c r="N6" s="151" t="s">
        <v>1</v>
      </c>
      <c r="O6" s="151" t="s">
        <v>8</v>
      </c>
      <c r="P6" s="151" t="s">
        <v>2</v>
      </c>
      <c r="Q6" s="151" t="s">
        <v>1</v>
      </c>
      <c r="R6" s="154" t="s">
        <v>67</v>
      </c>
      <c r="S6" s="154" t="s">
        <v>66</v>
      </c>
      <c r="T6" s="154" t="s">
        <v>60</v>
      </c>
      <c r="U6" s="151" t="s">
        <v>101</v>
      </c>
      <c r="V6" s="151" t="s">
        <v>12</v>
      </c>
      <c r="W6" s="153" t="s">
        <v>10</v>
      </c>
      <c r="X6" s="153"/>
      <c r="Y6" s="153"/>
      <c r="Z6" s="153"/>
      <c r="AA6" s="153" t="s">
        <v>11</v>
      </c>
      <c r="AB6" s="153"/>
      <c r="AC6" s="153"/>
      <c r="AD6" s="153"/>
      <c r="AE6" s="153"/>
      <c r="AF6" s="151" t="s">
        <v>4</v>
      </c>
    </row>
    <row r="7" spans="1:32" s="2" customFormat="1" ht="26.25" customHeight="1" x14ac:dyDescent="0.3">
      <c r="A7" s="152"/>
      <c r="B7" s="155"/>
      <c r="C7" s="152"/>
      <c r="D7" s="155"/>
      <c r="E7" s="18">
        <v>2020</v>
      </c>
      <c r="F7" s="18">
        <v>2021</v>
      </c>
      <c r="G7" s="18">
        <v>2022</v>
      </c>
      <c r="H7" s="18">
        <v>2023</v>
      </c>
      <c r="I7" s="18" t="s">
        <v>68</v>
      </c>
      <c r="J7" s="152"/>
      <c r="K7" s="152"/>
      <c r="L7" s="152"/>
      <c r="M7" s="152"/>
      <c r="N7" s="152"/>
      <c r="O7" s="152"/>
      <c r="P7" s="152"/>
      <c r="Q7" s="152"/>
      <c r="R7" s="155"/>
      <c r="S7" s="155"/>
      <c r="T7" s="155"/>
      <c r="U7" s="152"/>
      <c r="V7" s="152"/>
      <c r="W7" s="70" t="s">
        <v>69</v>
      </c>
      <c r="X7" s="70" t="s">
        <v>70</v>
      </c>
      <c r="Y7" s="70" t="s">
        <v>71</v>
      </c>
      <c r="Z7" s="106" t="s">
        <v>72</v>
      </c>
      <c r="AA7" s="70" t="s">
        <v>73</v>
      </c>
      <c r="AB7" s="70" t="s">
        <v>74</v>
      </c>
      <c r="AC7" s="70" t="s">
        <v>75</v>
      </c>
      <c r="AD7" s="70" t="s">
        <v>76</v>
      </c>
      <c r="AE7" s="70" t="s">
        <v>77</v>
      </c>
      <c r="AF7" s="152"/>
    </row>
    <row r="8" spans="1:32" ht="124.2" x14ac:dyDescent="0.3">
      <c r="A8" s="166" t="s">
        <v>1151</v>
      </c>
      <c r="B8" s="167">
        <v>14.494000000000002</v>
      </c>
      <c r="C8" s="166" t="s">
        <v>1152</v>
      </c>
      <c r="D8" s="168">
        <v>14.207000000000001</v>
      </c>
      <c r="E8" s="57">
        <v>16.029</v>
      </c>
      <c r="F8" s="57">
        <f>8.245-2</f>
        <v>6.2449999999999992</v>
      </c>
      <c r="G8" s="81">
        <v>3.7760000000000002</v>
      </c>
      <c r="H8" s="57">
        <v>3.4369999999999998</v>
      </c>
      <c r="I8" s="57">
        <v>6.9340000000000002</v>
      </c>
      <c r="J8" s="62">
        <v>52010010001</v>
      </c>
      <c r="K8" s="82" t="s">
        <v>1768</v>
      </c>
      <c r="L8" s="82" t="s">
        <v>1153</v>
      </c>
      <c r="M8" s="83" t="s">
        <v>107</v>
      </c>
      <c r="N8" s="83" t="s">
        <v>373</v>
      </c>
      <c r="O8" s="62" t="s">
        <v>518</v>
      </c>
      <c r="P8" s="83" t="s">
        <v>1769</v>
      </c>
      <c r="Q8" s="83" t="s">
        <v>373</v>
      </c>
      <c r="R8" s="83">
        <v>16</v>
      </c>
      <c r="S8" s="84">
        <v>45</v>
      </c>
      <c r="T8" s="83">
        <v>16</v>
      </c>
      <c r="U8" s="84">
        <v>0</v>
      </c>
      <c r="V8" s="84">
        <v>1</v>
      </c>
      <c r="W8" s="58">
        <v>0.3</v>
      </c>
      <c r="X8" s="91">
        <v>0.7</v>
      </c>
      <c r="Y8" s="118">
        <v>0.85</v>
      </c>
      <c r="Z8" s="121">
        <v>1</v>
      </c>
      <c r="AA8" s="119">
        <v>104098932</v>
      </c>
      <c r="AB8" s="59">
        <v>100011692</v>
      </c>
      <c r="AC8" s="59">
        <v>100000000</v>
      </c>
      <c r="AD8" s="59">
        <v>437615070</v>
      </c>
      <c r="AE8" s="59">
        <f t="shared" ref="AE8:AE14" si="0">SUM(AA8:AD8)</f>
        <v>741725694</v>
      </c>
      <c r="AF8" s="82" t="s">
        <v>1139</v>
      </c>
    </row>
    <row r="9" spans="1:32" ht="96.6" x14ac:dyDescent="0.3">
      <c r="A9" s="148"/>
      <c r="B9" s="159">
        <v>0</v>
      </c>
      <c r="C9" s="148"/>
      <c r="D9" s="160">
        <v>0</v>
      </c>
      <c r="E9" s="75">
        <v>0</v>
      </c>
      <c r="F9" s="75">
        <v>5.2409999999999997</v>
      </c>
      <c r="G9" s="74">
        <f>4.515-0.4</f>
        <v>4.1149999999999993</v>
      </c>
      <c r="H9" s="75">
        <v>1.5699999999999998</v>
      </c>
      <c r="I9" s="75">
        <v>2.831</v>
      </c>
      <c r="J9" s="73">
        <v>52010010002</v>
      </c>
      <c r="K9" s="30" t="s">
        <v>1154</v>
      </c>
      <c r="L9" s="30" t="s">
        <v>1155</v>
      </c>
      <c r="M9" s="22" t="s">
        <v>107</v>
      </c>
      <c r="N9" s="22" t="s">
        <v>373</v>
      </c>
      <c r="O9" s="73" t="s">
        <v>381</v>
      </c>
      <c r="P9" s="22" t="s">
        <v>519</v>
      </c>
      <c r="Q9" s="22" t="s">
        <v>373</v>
      </c>
      <c r="R9" s="22">
        <v>16</v>
      </c>
      <c r="S9" s="21">
        <v>41</v>
      </c>
      <c r="T9" s="22">
        <v>14</v>
      </c>
      <c r="U9" s="21">
        <v>600</v>
      </c>
      <c r="V9" s="21">
        <v>3000</v>
      </c>
      <c r="W9" s="21">
        <v>0</v>
      </c>
      <c r="X9" s="21">
        <v>1000</v>
      </c>
      <c r="Y9" s="94">
        <v>2000</v>
      </c>
      <c r="Z9" s="116">
        <v>3000</v>
      </c>
      <c r="AA9" s="87">
        <v>0</v>
      </c>
      <c r="AB9" s="29">
        <v>200000059</v>
      </c>
      <c r="AC9" s="29">
        <v>204600066</v>
      </c>
      <c r="AD9" s="29">
        <v>222123620</v>
      </c>
      <c r="AE9" s="29">
        <f t="shared" si="0"/>
        <v>626723745</v>
      </c>
      <c r="AF9" s="30" t="s">
        <v>1139</v>
      </c>
    </row>
    <row r="10" spans="1:32" ht="96.6" x14ac:dyDescent="0.3">
      <c r="A10" s="148"/>
      <c r="B10" s="159">
        <v>0</v>
      </c>
      <c r="C10" s="148"/>
      <c r="D10" s="160">
        <v>0</v>
      </c>
      <c r="E10" s="75">
        <v>26.824999999999999</v>
      </c>
      <c r="F10" s="75">
        <v>9.8279999999999994</v>
      </c>
      <c r="G10" s="74">
        <v>8.4659999999999993</v>
      </c>
      <c r="H10" s="75">
        <v>10.212</v>
      </c>
      <c r="I10" s="75">
        <v>13.833</v>
      </c>
      <c r="J10" s="73">
        <v>52010010003</v>
      </c>
      <c r="K10" s="30" t="s">
        <v>1156</v>
      </c>
      <c r="L10" s="30" t="s">
        <v>1157</v>
      </c>
      <c r="M10" s="22" t="s">
        <v>107</v>
      </c>
      <c r="N10" s="22" t="s">
        <v>373</v>
      </c>
      <c r="O10" s="73" t="s">
        <v>381</v>
      </c>
      <c r="P10" s="22" t="s">
        <v>520</v>
      </c>
      <c r="Q10" s="22" t="s">
        <v>373</v>
      </c>
      <c r="R10" s="22">
        <v>16</v>
      </c>
      <c r="S10" s="21">
        <v>45</v>
      </c>
      <c r="T10" s="22">
        <v>16</v>
      </c>
      <c r="U10" s="21">
        <v>4240</v>
      </c>
      <c r="V10" s="21">
        <v>8240</v>
      </c>
      <c r="W10" s="21">
        <v>4940</v>
      </c>
      <c r="X10" s="21">
        <v>6140</v>
      </c>
      <c r="Y10" s="94">
        <v>7440</v>
      </c>
      <c r="Z10" s="116">
        <v>8240</v>
      </c>
      <c r="AA10" s="87">
        <v>783081300</v>
      </c>
      <c r="AB10" s="29">
        <v>500005177</v>
      </c>
      <c r="AC10" s="29">
        <v>375005850</v>
      </c>
      <c r="AD10" s="29">
        <v>154068250</v>
      </c>
      <c r="AE10" s="29">
        <f t="shared" si="0"/>
        <v>1812160577</v>
      </c>
      <c r="AF10" s="30" t="s">
        <v>1139</v>
      </c>
    </row>
    <row r="11" spans="1:32" ht="55.2" x14ac:dyDescent="0.3">
      <c r="A11" s="148"/>
      <c r="B11" s="159">
        <v>0</v>
      </c>
      <c r="C11" s="148"/>
      <c r="D11" s="160">
        <v>0</v>
      </c>
      <c r="E11" s="75">
        <v>0</v>
      </c>
      <c r="F11" s="75">
        <v>7.7210000000000001</v>
      </c>
      <c r="G11" s="74">
        <f>6.176+4.171+2+2+1.5+1.3+0.4</f>
        <v>17.547000000000001</v>
      </c>
      <c r="H11" s="75">
        <v>5.6559999999999997</v>
      </c>
      <c r="I11" s="75">
        <v>4.1379999999999999</v>
      </c>
      <c r="J11" s="73">
        <v>52010010004</v>
      </c>
      <c r="K11" s="30" t="s">
        <v>1158</v>
      </c>
      <c r="L11" s="30" t="s">
        <v>1159</v>
      </c>
      <c r="M11" s="22" t="s">
        <v>107</v>
      </c>
      <c r="N11" s="22" t="s">
        <v>373</v>
      </c>
      <c r="O11" s="73" t="s">
        <v>381</v>
      </c>
      <c r="P11" s="22" t="s">
        <v>521</v>
      </c>
      <c r="Q11" s="22" t="s">
        <v>373</v>
      </c>
      <c r="R11" s="22">
        <v>16</v>
      </c>
      <c r="S11" s="21">
        <v>45</v>
      </c>
      <c r="T11" s="22">
        <v>16</v>
      </c>
      <c r="U11" s="21">
        <v>26</v>
      </c>
      <c r="V11" s="21">
        <v>272</v>
      </c>
      <c r="W11" s="21">
        <v>0</v>
      </c>
      <c r="X11" s="21">
        <v>72</v>
      </c>
      <c r="Y11" s="94">
        <v>174</v>
      </c>
      <c r="Z11" s="116">
        <v>272</v>
      </c>
      <c r="AA11" s="87">
        <v>0</v>
      </c>
      <c r="AB11" s="29">
        <v>150000843</v>
      </c>
      <c r="AC11" s="29">
        <v>4157600952</v>
      </c>
      <c r="AD11" s="29">
        <v>763094750</v>
      </c>
      <c r="AE11" s="29">
        <f t="shared" si="0"/>
        <v>5070696545</v>
      </c>
      <c r="AF11" s="30" t="s">
        <v>1139</v>
      </c>
    </row>
    <row r="12" spans="1:32" ht="82.8" x14ac:dyDescent="0.3">
      <c r="A12" s="148"/>
      <c r="B12" s="159">
        <v>0</v>
      </c>
      <c r="C12" s="148"/>
      <c r="D12" s="160">
        <v>0</v>
      </c>
      <c r="E12" s="75">
        <v>0</v>
      </c>
      <c r="F12" s="75">
        <v>0</v>
      </c>
      <c r="G12" s="74">
        <f>7.815-2-1.2</f>
        <v>4.6150000000000002</v>
      </c>
      <c r="H12" s="75">
        <v>6.9610000000000003</v>
      </c>
      <c r="I12" s="75">
        <v>5.3809999999999993</v>
      </c>
      <c r="J12" s="73">
        <v>52010010005</v>
      </c>
      <c r="K12" s="30" t="s">
        <v>1160</v>
      </c>
      <c r="L12" s="30" t="s">
        <v>1161</v>
      </c>
      <c r="M12" s="22" t="s">
        <v>107</v>
      </c>
      <c r="N12" s="22" t="s">
        <v>373</v>
      </c>
      <c r="O12" s="73" t="s">
        <v>381</v>
      </c>
      <c r="P12" s="22" t="s">
        <v>522</v>
      </c>
      <c r="Q12" s="22" t="s">
        <v>373</v>
      </c>
      <c r="R12" s="22">
        <v>16</v>
      </c>
      <c r="S12" s="21">
        <v>45</v>
      </c>
      <c r="T12" s="22">
        <v>16</v>
      </c>
      <c r="U12" s="21">
        <v>411</v>
      </c>
      <c r="V12" s="21">
        <v>1011</v>
      </c>
      <c r="W12" s="21">
        <v>0</v>
      </c>
      <c r="X12" s="21">
        <v>0</v>
      </c>
      <c r="Y12" s="94">
        <v>711</v>
      </c>
      <c r="Z12" s="116">
        <v>1011</v>
      </c>
      <c r="AA12" s="87">
        <v>0</v>
      </c>
      <c r="AB12" s="29">
        <v>0</v>
      </c>
      <c r="AC12" s="29">
        <v>255724752</v>
      </c>
      <c r="AD12" s="29">
        <v>277255400</v>
      </c>
      <c r="AE12" s="29">
        <f t="shared" si="0"/>
        <v>532980152</v>
      </c>
      <c r="AF12" s="30" t="s">
        <v>1139</v>
      </c>
    </row>
    <row r="13" spans="1:32" ht="69" x14ac:dyDescent="0.3">
      <c r="A13" s="148"/>
      <c r="B13" s="159">
        <v>0</v>
      </c>
      <c r="C13" s="148"/>
      <c r="D13" s="160">
        <v>0</v>
      </c>
      <c r="E13" s="75">
        <v>18.215</v>
      </c>
      <c r="F13" s="75">
        <f>11.96+2.552-2.552</f>
        <v>11.96</v>
      </c>
      <c r="G13" s="74">
        <v>10.449</v>
      </c>
      <c r="H13" s="75">
        <v>11.602</v>
      </c>
      <c r="I13" s="75">
        <v>13.056999999999999</v>
      </c>
      <c r="J13" s="73">
        <v>52010010006</v>
      </c>
      <c r="K13" s="30" t="s">
        <v>1162</v>
      </c>
      <c r="L13" s="30" t="s">
        <v>1163</v>
      </c>
      <c r="M13" s="22" t="s">
        <v>144</v>
      </c>
      <c r="N13" s="22" t="s">
        <v>373</v>
      </c>
      <c r="O13" s="73" t="s">
        <v>381</v>
      </c>
      <c r="P13" s="22" t="s">
        <v>523</v>
      </c>
      <c r="Q13" s="22" t="s">
        <v>373</v>
      </c>
      <c r="R13" s="22">
        <v>16</v>
      </c>
      <c r="S13" s="21">
        <v>45</v>
      </c>
      <c r="T13" s="22">
        <v>14</v>
      </c>
      <c r="U13" s="21">
        <v>1</v>
      </c>
      <c r="V13" s="21">
        <v>1</v>
      </c>
      <c r="W13" s="21">
        <v>1</v>
      </c>
      <c r="X13" s="21">
        <v>1</v>
      </c>
      <c r="Y13" s="94">
        <v>1</v>
      </c>
      <c r="Z13" s="116">
        <v>1</v>
      </c>
      <c r="AA13" s="87">
        <v>377109700</v>
      </c>
      <c r="AB13" s="29">
        <v>600000000</v>
      </c>
      <c r="AC13" s="29">
        <v>462000000</v>
      </c>
      <c r="AD13" s="29">
        <v>323143640</v>
      </c>
      <c r="AE13" s="29">
        <f t="shared" si="0"/>
        <v>1762253340</v>
      </c>
      <c r="AF13" s="30" t="s">
        <v>1139</v>
      </c>
    </row>
    <row r="14" spans="1:32" ht="41.4" x14ac:dyDescent="0.3">
      <c r="A14" s="148"/>
      <c r="B14" s="159">
        <v>0</v>
      </c>
      <c r="C14" s="148"/>
      <c r="D14" s="160">
        <v>0</v>
      </c>
      <c r="E14" s="75">
        <v>23.882999999999999</v>
      </c>
      <c r="F14" s="75">
        <f>8.836+2</f>
        <v>10.836</v>
      </c>
      <c r="G14" s="74">
        <v>7.3190000000000008</v>
      </c>
      <c r="H14" s="75">
        <v>8.7010000000000005</v>
      </c>
      <c r="I14" s="75">
        <v>12.185</v>
      </c>
      <c r="J14" s="73">
        <v>52010010007</v>
      </c>
      <c r="K14" s="30" t="s">
        <v>1164</v>
      </c>
      <c r="L14" s="30" t="s">
        <v>1165</v>
      </c>
      <c r="M14" s="22" t="s">
        <v>107</v>
      </c>
      <c r="N14" s="22" t="s">
        <v>374</v>
      </c>
      <c r="O14" s="73" t="s">
        <v>381</v>
      </c>
      <c r="P14" s="22" t="s">
        <v>524</v>
      </c>
      <c r="Q14" s="22" t="s">
        <v>373</v>
      </c>
      <c r="R14" s="22">
        <v>16</v>
      </c>
      <c r="S14" s="21">
        <v>45</v>
      </c>
      <c r="T14" s="22">
        <v>16</v>
      </c>
      <c r="U14" s="21">
        <v>53</v>
      </c>
      <c r="V14" s="21">
        <v>100</v>
      </c>
      <c r="W14" s="21">
        <v>65</v>
      </c>
      <c r="X14" s="21">
        <v>77</v>
      </c>
      <c r="Y14" s="94">
        <v>87.6</v>
      </c>
      <c r="Z14" s="116">
        <v>100</v>
      </c>
      <c r="AA14" s="87">
        <v>722186541</v>
      </c>
      <c r="AB14" s="29">
        <v>570004999</v>
      </c>
      <c r="AC14" s="29">
        <v>344105649</v>
      </c>
      <c r="AD14" s="29">
        <v>413979660</v>
      </c>
      <c r="AE14" s="29">
        <f t="shared" si="0"/>
        <v>2050276849</v>
      </c>
      <c r="AF14" s="30" t="s">
        <v>1139</v>
      </c>
    </row>
    <row r="15" spans="1:32" ht="69" x14ac:dyDescent="0.3">
      <c r="A15" s="148"/>
      <c r="B15" s="159">
        <v>0</v>
      </c>
      <c r="C15" s="148"/>
      <c r="D15" s="160">
        <v>0</v>
      </c>
      <c r="E15" s="75">
        <v>0</v>
      </c>
      <c r="F15" s="75">
        <f>13.521+2-2</f>
        <v>13.521000000000001</v>
      </c>
      <c r="G15" s="74">
        <f>16.481-2</f>
        <v>14.481000000000002</v>
      </c>
      <c r="H15" s="75">
        <v>13.159000000000001</v>
      </c>
      <c r="I15" s="75">
        <v>10.79</v>
      </c>
      <c r="J15" s="73">
        <v>52010010008</v>
      </c>
      <c r="K15" s="30" t="s">
        <v>1166</v>
      </c>
      <c r="L15" s="30" t="s">
        <v>1167</v>
      </c>
      <c r="M15" s="22" t="s">
        <v>107</v>
      </c>
      <c r="N15" s="22" t="s">
        <v>373</v>
      </c>
      <c r="O15" s="73" t="s">
        <v>381</v>
      </c>
      <c r="P15" s="22" t="s">
        <v>525</v>
      </c>
      <c r="Q15" s="22" t="s">
        <v>373</v>
      </c>
      <c r="R15" s="22">
        <v>16</v>
      </c>
      <c r="S15" s="21">
        <v>12</v>
      </c>
      <c r="T15" s="22">
        <v>18</v>
      </c>
      <c r="U15" s="21">
        <v>5</v>
      </c>
      <c r="V15" s="21">
        <v>16</v>
      </c>
      <c r="W15" s="21">
        <v>0</v>
      </c>
      <c r="X15" s="21">
        <v>7</v>
      </c>
      <c r="Y15" s="94">
        <v>12</v>
      </c>
      <c r="Z15" s="116">
        <v>16</v>
      </c>
      <c r="AA15" s="87">
        <v>0</v>
      </c>
      <c r="AB15" s="29">
        <v>932415603</v>
      </c>
      <c r="AC15" s="29">
        <v>1203629631</v>
      </c>
      <c r="AD15" s="29">
        <v>788309440</v>
      </c>
      <c r="AE15" s="29">
        <f t="shared" ref="AE15:AE79" si="1">SUM(AA15:AD15)</f>
        <v>2924354674</v>
      </c>
      <c r="AF15" s="30" t="s">
        <v>1139</v>
      </c>
    </row>
    <row r="16" spans="1:32" ht="96.6" x14ac:dyDescent="0.3">
      <c r="A16" s="148"/>
      <c r="B16" s="159">
        <v>0</v>
      </c>
      <c r="C16" s="148"/>
      <c r="D16" s="160">
        <v>0</v>
      </c>
      <c r="E16" s="75">
        <v>0</v>
      </c>
      <c r="F16" s="75">
        <v>7.4359999999999999</v>
      </c>
      <c r="G16" s="74">
        <f>3.645+1.2</f>
        <v>4.8449999999999998</v>
      </c>
      <c r="H16" s="75">
        <v>5.0650000000000004</v>
      </c>
      <c r="I16" s="75">
        <v>3.488</v>
      </c>
      <c r="J16" s="73">
        <v>52010010009</v>
      </c>
      <c r="K16" s="30" t="s">
        <v>1168</v>
      </c>
      <c r="L16" s="30" t="s">
        <v>1169</v>
      </c>
      <c r="M16" s="22" t="s">
        <v>107</v>
      </c>
      <c r="N16" s="22" t="s">
        <v>373</v>
      </c>
      <c r="O16" s="73" t="s">
        <v>526</v>
      </c>
      <c r="P16" s="22" t="s">
        <v>527</v>
      </c>
      <c r="Q16" s="22" t="s">
        <v>373</v>
      </c>
      <c r="R16" s="22">
        <v>16</v>
      </c>
      <c r="S16" s="21">
        <v>45</v>
      </c>
      <c r="T16" s="22">
        <v>16</v>
      </c>
      <c r="U16" s="21">
        <v>0</v>
      </c>
      <c r="V16" s="21">
        <v>1</v>
      </c>
      <c r="W16" s="21">
        <v>0</v>
      </c>
      <c r="X16" s="21">
        <v>1</v>
      </c>
      <c r="Y16" s="94">
        <v>1</v>
      </c>
      <c r="Z16" s="116">
        <v>1</v>
      </c>
      <c r="AA16" s="87">
        <v>0</v>
      </c>
      <c r="AB16" s="29">
        <v>300009206</v>
      </c>
      <c r="AC16" s="29">
        <v>264010403</v>
      </c>
      <c r="AD16" s="29">
        <v>299608140</v>
      </c>
      <c r="AE16" s="29">
        <f t="shared" si="1"/>
        <v>863627749</v>
      </c>
      <c r="AF16" s="30" t="s">
        <v>1139</v>
      </c>
    </row>
    <row r="17" spans="1:32" ht="82.8" x14ac:dyDescent="0.3">
      <c r="A17" s="148"/>
      <c r="B17" s="159">
        <v>0</v>
      </c>
      <c r="C17" s="148"/>
      <c r="D17" s="160">
        <v>0</v>
      </c>
      <c r="E17" s="75">
        <v>0</v>
      </c>
      <c r="F17" s="75">
        <v>0</v>
      </c>
      <c r="G17" s="74">
        <f>5.612-1.3</f>
        <v>4.3120000000000003</v>
      </c>
      <c r="H17" s="75">
        <v>4.351</v>
      </c>
      <c r="I17" s="75">
        <v>3.5389999999999997</v>
      </c>
      <c r="J17" s="73">
        <v>52010010010</v>
      </c>
      <c r="K17" s="30" t="s">
        <v>1170</v>
      </c>
      <c r="L17" s="30" t="s">
        <v>1171</v>
      </c>
      <c r="M17" s="22" t="s">
        <v>107</v>
      </c>
      <c r="N17" s="22" t="s">
        <v>373</v>
      </c>
      <c r="O17" s="73" t="s">
        <v>381</v>
      </c>
      <c r="P17" s="22" t="s">
        <v>528</v>
      </c>
      <c r="Q17" s="22" t="s">
        <v>373</v>
      </c>
      <c r="R17" s="22">
        <v>16</v>
      </c>
      <c r="S17" s="21">
        <v>45</v>
      </c>
      <c r="T17" s="22">
        <v>16</v>
      </c>
      <c r="U17" s="21">
        <v>0</v>
      </c>
      <c r="V17" s="21">
        <v>10</v>
      </c>
      <c r="W17" s="21">
        <v>0</v>
      </c>
      <c r="X17" s="21">
        <v>0</v>
      </c>
      <c r="Y17" s="94">
        <v>5</v>
      </c>
      <c r="Z17" s="116">
        <v>10</v>
      </c>
      <c r="AA17" s="87">
        <v>0</v>
      </c>
      <c r="AB17" s="29">
        <v>0</v>
      </c>
      <c r="AC17" s="29">
        <v>160000000</v>
      </c>
      <c r="AD17" s="29">
        <v>304148700</v>
      </c>
      <c r="AE17" s="29">
        <f t="shared" si="1"/>
        <v>464148700</v>
      </c>
      <c r="AF17" s="30" t="s">
        <v>1139</v>
      </c>
    </row>
    <row r="18" spans="1:32" ht="69" x14ac:dyDescent="0.3">
      <c r="A18" s="148"/>
      <c r="B18" s="159">
        <v>0</v>
      </c>
      <c r="C18" s="148"/>
      <c r="D18" s="160">
        <v>0</v>
      </c>
      <c r="E18" s="75">
        <v>0</v>
      </c>
      <c r="F18" s="75">
        <v>0</v>
      </c>
      <c r="G18" s="74">
        <v>3.9510000000000005</v>
      </c>
      <c r="H18" s="75">
        <v>4.641</v>
      </c>
      <c r="I18" s="75">
        <v>3.2939999999999996</v>
      </c>
      <c r="J18" s="73">
        <v>52010010011</v>
      </c>
      <c r="K18" s="30" t="s">
        <v>1172</v>
      </c>
      <c r="L18" s="30" t="s">
        <v>1173</v>
      </c>
      <c r="M18" s="22" t="s">
        <v>144</v>
      </c>
      <c r="N18" s="22" t="s">
        <v>373</v>
      </c>
      <c r="O18" s="73" t="s">
        <v>381</v>
      </c>
      <c r="P18" s="22" t="s">
        <v>529</v>
      </c>
      <c r="Q18" s="22" t="s">
        <v>373</v>
      </c>
      <c r="R18" s="22">
        <v>16</v>
      </c>
      <c r="S18" s="21">
        <v>45</v>
      </c>
      <c r="T18" s="22">
        <v>16</v>
      </c>
      <c r="U18" s="21">
        <v>0</v>
      </c>
      <c r="V18" s="21">
        <v>1</v>
      </c>
      <c r="W18" s="21">
        <v>0</v>
      </c>
      <c r="X18" s="21">
        <v>0</v>
      </c>
      <c r="Y18" s="94">
        <v>1</v>
      </c>
      <c r="Z18" s="116">
        <v>1</v>
      </c>
      <c r="AA18" s="87">
        <v>0</v>
      </c>
      <c r="AB18" s="29">
        <v>0</v>
      </c>
      <c r="AC18" s="29">
        <v>180000000</v>
      </c>
      <c r="AD18" s="29">
        <v>327583980</v>
      </c>
      <c r="AE18" s="29">
        <f t="shared" si="1"/>
        <v>507583980</v>
      </c>
      <c r="AF18" s="30" t="s">
        <v>1139</v>
      </c>
    </row>
    <row r="19" spans="1:32" ht="96.6" x14ac:dyDescent="0.3">
      <c r="A19" s="148"/>
      <c r="B19" s="159">
        <v>0</v>
      </c>
      <c r="C19" s="148"/>
      <c r="D19" s="160">
        <v>0</v>
      </c>
      <c r="E19" s="75">
        <v>0</v>
      </c>
      <c r="F19" s="75">
        <v>7.03</v>
      </c>
      <c r="G19" s="74">
        <v>4.3330000000000002</v>
      </c>
      <c r="H19" s="75">
        <v>5.84</v>
      </c>
      <c r="I19" s="75">
        <v>3.8010000000000002</v>
      </c>
      <c r="J19" s="73">
        <v>52010010012</v>
      </c>
      <c r="K19" s="30" t="s">
        <v>1174</v>
      </c>
      <c r="L19" s="30" t="s">
        <v>1175</v>
      </c>
      <c r="M19" s="22" t="s">
        <v>107</v>
      </c>
      <c r="N19" s="22" t="s">
        <v>373</v>
      </c>
      <c r="O19" s="73" t="s">
        <v>381</v>
      </c>
      <c r="P19" s="22" t="s">
        <v>530</v>
      </c>
      <c r="Q19" s="22" t="s">
        <v>373</v>
      </c>
      <c r="R19" s="22">
        <v>16</v>
      </c>
      <c r="S19" s="21">
        <v>45</v>
      </c>
      <c r="T19" s="22">
        <v>16</v>
      </c>
      <c r="U19" s="21">
        <v>0</v>
      </c>
      <c r="V19" s="21">
        <v>6</v>
      </c>
      <c r="W19" s="21">
        <v>0</v>
      </c>
      <c r="X19" s="21">
        <v>2</v>
      </c>
      <c r="Y19" s="94">
        <v>4</v>
      </c>
      <c r="Z19" s="116">
        <v>6</v>
      </c>
      <c r="AA19" s="87">
        <v>0</v>
      </c>
      <c r="AB19" s="29">
        <v>200000000</v>
      </c>
      <c r="AC19" s="29">
        <v>206000000</v>
      </c>
      <c r="AD19" s="29">
        <v>110547840</v>
      </c>
      <c r="AE19" s="29">
        <f t="shared" si="1"/>
        <v>516547840</v>
      </c>
      <c r="AF19" s="30" t="s">
        <v>1139</v>
      </c>
    </row>
    <row r="20" spans="1:32" ht="41.4" x14ac:dyDescent="0.3">
      <c r="A20" s="148"/>
      <c r="B20" s="159">
        <v>0</v>
      </c>
      <c r="C20" s="148"/>
      <c r="D20" s="160">
        <v>0</v>
      </c>
      <c r="E20" s="75">
        <v>0</v>
      </c>
      <c r="F20" s="75">
        <v>6.5860000000000003</v>
      </c>
      <c r="G20" s="74">
        <v>4.0860000000000003</v>
      </c>
      <c r="H20" s="75">
        <v>5.6779999999999999</v>
      </c>
      <c r="I20" s="75">
        <v>3.5880000000000001</v>
      </c>
      <c r="J20" s="73">
        <v>52010010013</v>
      </c>
      <c r="K20" s="30" t="s">
        <v>1176</v>
      </c>
      <c r="L20" s="30" t="s">
        <v>1177</v>
      </c>
      <c r="M20" s="22" t="s">
        <v>107</v>
      </c>
      <c r="N20" s="22" t="s">
        <v>373</v>
      </c>
      <c r="O20" s="73" t="s">
        <v>381</v>
      </c>
      <c r="P20" s="22" t="s">
        <v>531</v>
      </c>
      <c r="Q20" s="22" t="s">
        <v>373</v>
      </c>
      <c r="R20" s="22">
        <v>16</v>
      </c>
      <c r="S20" s="21">
        <v>45</v>
      </c>
      <c r="T20" s="22">
        <v>16</v>
      </c>
      <c r="U20" s="21">
        <v>0</v>
      </c>
      <c r="V20" s="21">
        <v>1</v>
      </c>
      <c r="W20" s="21">
        <v>0</v>
      </c>
      <c r="X20" s="21">
        <v>1</v>
      </c>
      <c r="Y20" s="94">
        <v>1</v>
      </c>
      <c r="Z20" s="121">
        <v>1</v>
      </c>
      <c r="AA20" s="87">
        <v>0</v>
      </c>
      <c r="AB20" s="29">
        <v>149959033</v>
      </c>
      <c r="AC20" s="29">
        <v>100453707</v>
      </c>
      <c r="AD20" s="29">
        <v>502050840</v>
      </c>
      <c r="AE20" s="29">
        <f t="shared" si="1"/>
        <v>752463580</v>
      </c>
      <c r="AF20" s="30" t="s">
        <v>1139</v>
      </c>
    </row>
    <row r="21" spans="1:32" ht="96.6" x14ac:dyDescent="0.3">
      <c r="A21" s="148"/>
      <c r="B21" s="159">
        <v>0</v>
      </c>
      <c r="C21" s="148"/>
      <c r="D21" s="160">
        <v>0</v>
      </c>
      <c r="E21" s="75">
        <v>0</v>
      </c>
      <c r="F21" s="75">
        <v>7.0440000000000005</v>
      </c>
      <c r="G21" s="74">
        <v>3.84</v>
      </c>
      <c r="H21" s="75">
        <v>5.5809999999999995</v>
      </c>
      <c r="I21" s="75">
        <v>3.47</v>
      </c>
      <c r="J21" s="73">
        <v>52010010014</v>
      </c>
      <c r="K21" s="30" t="s">
        <v>1178</v>
      </c>
      <c r="L21" s="30" t="s">
        <v>1179</v>
      </c>
      <c r="M21" s="22" t="s">
        <v>144</v>
      </c>
      <c r="N21" s="22" t="s">
        <v>373</v>
      </c>
      <c r="O21" s="73" t="s">
        <v>381</v>
      </c>
      <c r="P21" s="22" t="s">
        <v>532</v>
      </c>
      <c r="Q21" s="22" t="s">
        <v>373</v>
      </c>
      <c r="R21" s="22">
        <v>16</v>
      </c>
      <c r="S21" s="21">
        <v>45</v>
      </c>
      <c r="T21" s="22">
        <v>16</v>
      </c>
      <c r="U21" s="21">
        <v>0</v>
      </c>
      <c r="V21" s="21">
        <v>1</v>
      </c>
      <c r="W21" s="21">
        <v>0</v>
      </c>
      <c r="X21" s="21">
        <v>1</v>
      </c>
      <c r="Y21" s="94">
        <v>1</v>
      </c>
      <c r="Z21" s="116">
        <v>1</v>
      </c>
      <c r="AA21" s="87">
        <v>0</v>
      </c>
      <c r="AB21" s="29">
        <v>200000000</v>
      </c>
      <c r="AC21" s="29">
        <v>206000000</v>
      </c>
      <c r="AD21" s="29">
        <v>318065030</v>
      </c>
      <c r="AE21" s="29">
        <f t="shared" si="1"/>
        <v>724065030</v>
      </c>
      <c r="AF21" s="30" t="s">
        <v>1139</v>
      </c>
    </row>
    <row r="22" spans="1:32" ht="55.2" x14ac:dyDescent="0.3">
      <c r="A22" s="148"/>
      <c r="B22" s="159">
        <v>0</v>
      </c>
      <c r="C22" s="148"/>
      <c r="D22" s="160">
        <v>0</v>
      </c>
      <c r="E22" s="75">
        <v>15.048</v>
      </c>
      <c r="F22" s="75">
        <f>6.552-2-2-2.552+2.552+2+2</f>
        <v>6.5519999999999996</v>
      </c>
      <c r="G22" s="74">
        <f>4.171-4.171</f>
        <v>0</v>
      </c>
      <c r="H22" s="75">
        <v>2.9000000000000004</v>
      </c>
      <c r="I22" s="75">
        <v>6.1850000000000005</v>
      </c>
      <c r="J22" s="73">
        <v>52010010015</v>
      </c>
      <c r="K22" s="30" t="s">
        <v>1180</v>
      </c>
      <c r="L22" s="30" t="s">
        <v>1181</v>
      </c>
      <c r="M22" s="22" t="s">
        <v>107</v>
      </c>
      <c r="N22" s="22" t="s">
        <v>533</v>
      </c>
      <c r="O22" s="73" t="s">
        <v>381</v>
      </c>
      <c r="P22" s="22" t="s">
        <v>534</v>
      </c>
      <c r="Q22" s="22" t="s">
        <v>373</v>
      </c>
      <c r="R22" s="22">
        <v>16</v>
      </c>
      <c r="S22" s="21">
        <v>22</v>
      </c>
      <c r="T22" s="22">
        <v>1</v>
      </c>
      <c r="U22" s="21">
        <v>0</v>
      </c>
      <c r="V22" s="21">
        <v>30</v>
      </c>
      <c r="W22" s="21">
        <v>5</v>
      </c>
      <c r="X22" s="21">
        <v>15</v>
      </c>
      <c r="Y22" s="94">
        <v>0</v>
      </c>
      <c r="Z22" s="116">
        <v>30</v>
      </c>
      <c r="AA22" s="87">
        <v>83813542</v>
      </c>
      <c r="AB22" s="29">
        <v>205012490</v>
      </c>
      <c r="AC22" s="29">
        <v>0</v>
      </c>
      <c r="AD22" s="29">
        <v>700000000</v>
      </c>
      <c r="AE22" s="29">
        <f t="shared" si="1"/>
        <v>988826032</v>
      </c>
      <c r="AF22" s="30" t="s">
        <v>358</v>
      </c>
    </row>
    <row r="23" spans="1:32" ht="110.4" x14ac:dyDescent="0.3">
      <c r="A23" s="148"/>
      <c r="B23" s="159">
        <v>0</v>
      </c>
      <c r="C23" s="148"/>
      <c r="D23" s="160">
        <v>0</v>
      </c>
      <c r="E23" s="75">
        <v>0</v>
      </c>
      <c r="F23" s="75">
        <v>0</v>
      </c>
      <c r="G23" s="74">
        <f>5.365-1.5</f>
        <v>3.8650000000000002</v>
      </c>
      <c r="H23" s="75">
        <v>4.6459999999999999</v>
      </c>
      <c r="I23" s="75">
        <v>3.4860000000000002</v>
      </c>
      <c r="J23" s="73">
        <v>52010010016</v>
      </c>
      <c r="K23" s="30" t="s">
        <v>1182</v>
      </c>
      <c r="L23" s="30" t="s">
        <v>1183</v>
      </c>
      <c r="M23" s="22" t="s">
        <v>107</v>
      </c>
      <c r="N23" s="22" t="s">
        <v>373</v>
      </c>
      <c r="O23" s="73" t="s">
        <v>381</v>
      </c>
      <c r="P23" s="22" t="s">
        <v>535</v>
      </c>
      <c r="Q23" s="22" t="s">
        <v>373</v>
      </c>
      <c r="R23" s="22">
        <v>16</v>
      </c>
      <c r="S23" s="21">
        <v>45</v>
      </c>
      <c r="T23" s="22">
        <v>16</v>
      </c>
      <c r="U23" s="21">
        <v>0</v>
      </c>
      <c r="V23" s="21">
        <v>4</v>
      </c>
      <c r="W23" s="21">
        <v>0</v>
      </c>
      <c r="X23" s="21">
        <v>0</v>
      </c>
      <c r="Y23" s="94">
        <v>2</v>
      </c>
      <c r="Z23" s="116">
        <v>4</v>
      </c>
      <c r="AA23" s="87">
        <v>0</v>
      </c>
      <c r="AB23" s="29">
        <v>0</v>
      </c>
      <c r="AC23" s="29">
        <v>170000000</v>
      </c>
      <c r="AD23" s="29">
        <v>224123880</v>
      </c>
      <c r="AE23" s="29">
        <f t="shared" si="1"/>
        <v>394123880</v>
      </c>
      <c r="AF23" s="30" t="s">
        <v>1139</v>
      </c>
    </row>
    <row r="24" spans="1:32" ht="51" customHeight="1" x14ac:dyDescent="0.3">
      <c r="A24" s="148"/>
      <c r="B24" s="159">
        <v>0</v>
      </c>
      <c r="C24" s="148" t="s">
        <v>1184</v>
      </c>
      <c r="D24" s="160">
        <v>17.305</v>
      </c>
      <c r="E24" s="75">
        <v>18.379000000000001</v>
      </c>
      <c r="F24" s="75">
        <v>18.809999999999999</v>
      </c>
      <c r="G24" s="74">
        <f>18.987+5+2</f>
        <v>25.986999999999998</v>
      </c>
      <c r="H24" s="75">
        <f>18.982+2.7+1.8-1.8</f>
        <v>21.681999999999999</v>
      </c>
      <c r="I24" s="75">
        <v>18.790000000000003</v>
      </c>
      <c r="J24" s="73">
        <v>52010020001</v>
      </c>
      <c r="K24" s="30" t="s">
        <v>1185</v>
      </c>
      <c r="L24" s="30" t="s">
        <v>1186</v>
      </c>
      <c r="M24" s="22" t="s">
        <v>107</v>
      </c>
      <c r="N24" s="22" t="s">
        <v>373</v>
      </c>
      <c r="O24" s="73" t="s">
        <v>381</v>
      </c>
      <c r="P24" s="22" t="s">
        <v>536</v>
      </c>
      <c r="Q24" s="22" t="s">
        <v>373</v>
      </c>
      <c r="R24" s="22">
        <v>16</v>
      </c>
      <c r="S24" s="21">
        <v>45</v>
      </c>
      <c r="T24" s="22">
        <v>18</v>
      </c>
      <c r="U24" s="21">
        <v>26306</v>
      </c>
      <c r="V24" s="21">
        <v>38306</v>
      </c>
      <c r="W24" s="21">
        <v>28106</v>
      </c>
      <c r="X24" s="21">
        <v>31506</v>
      </c>
      <c r="Y24" s="94">
        <v>36689</v>
      </c>
      <c r="Z24" s="116">
        <v>38306</v>
      </c>
      <c r="AA24" s="87">
        <v>1658584000</v>
      </c>
      <c r="AB24" s="29">
        <v>1659500500</v>
      </c>
      <c r="AC24" s="29">
        <v>6364400210</v>
      </c>
      <c r="AD24" s="29">
        <v>4232890469</v>
      </c>
      <c r="AE24" s="29">
        <f t="shared" si="1"/>
        <v>13915375179</v>
      </c>
      <c r="AF24" s="30" t="s">
        <v>372</v>
      </c>
    </row>
    <row r="25" spans="1:32" ht="55.2" x14ac:dyDescent="0.3">
      <c r="A25" s="148"/>
      <c r="B25" s="159">
        <v>0</v>
      </c>
      <c r="C25" s="148"/>
      <c r="D25" s="160">
        <v>0</v>
      </c>
      <c r="E25" s="75">
        <v>21.809000000000001</v>
      </c>
      <c r="F25" s="75">
        <f>14.693+4+2.774</f>
        <v>21.466999999999999</v>
      </c>
      <c r="G25" s="74">
        <f>14.865+4.258</f>
        <v>19.123000000000001</v>
      </c>
      <c r="H25" s="75">
        <f>14.639+2.754+1.8-1.8</f>
        <v>17.393000000000001</v>
      </c>
      <c r="I25" s="75">
        <v>16.501999999999999</v>
      </c>
      <c r="J25" s="73">
        <v>52010020002</v>
      </c>
      <c r="K25" s="30" t="s">
        <v>1187</v>
      </c>
      <c r="L25" s="30" t="s">
        <v>1188</v>
      </c>
      <c r="M25" s="22" t="s">
        <v>107</v>
      </c>
      <c r="N25" s="22" t="s">
        <v>373</v>
      </c>
      <c r="O25" s="73" t="s">
        <v>381</v>
      </c>
      <c r="P25" s="22" t="s">
        <v>537</v>
      </c>
      <c r="Q25" s="22" t="s">
        <v>373</v>
      </c>
      <c r="R25" s="22">
        <v>16</v>
      </c>
      <c r="S25" s="21">
        <v>41</v>
      </c>
      <c r="T25" s="22">
        <v>18</v>
      </c>
      <c r="U25" s="21">
        <v>2400</v>
      </c>
      <c r="V25" s="21">
        <v>37400</v>
      </c>
      <c r="W25" s="21">
        <v>8150</v>
      </c>
      <c r="X25" s="21">
        <v>12150</v>
      </c>
      <c r="Y25" s="94">
        <v>24775</v>
      </c>
      <c r="Z25" s="116">
        <v>37400</v>
      </c>
      <c r="AA25" s="109">
        <v>9644668529</v>
      </c>
      <c r="AB25" s="29">
        <v>2295256660</v>
      </c>
      <c r="AC25" s="29">
        <v>4396828600</v>
      </c>
      <c r="AD25" s="29">
        <v>3446098618</v>
      </c>
      <c r="AE25" s="29">
        <f t="shared" si="1"/>
        <v>19782852407</v>
      </c>
      <c r="AF25" s="30" t="s">
        <v>372</v>
      </c>
    </row>
    <row r="26" spans="1:32" ht="82.8" x14ac:dyDescent="0.3">
      <c r="A26" s="148"/>
      <c r="B26" s="159">
        <v>0</v>
      </c>
      <c r="C26" s="148"/>
      <c r="D26" s="160">
        <v>0</v>
      </c>
      <c r="E26" s="75">
        <v>9.5909999999999993</v>
      </c>
      <c r="F26" s="75">
        <f>9.383-2-4-3.383</f>
        <v>0</v>
      </c>
      <c r="G26" s="74">
        <f>9.258-5-4.258</f>
        <v>0</v>
      </c>
      <c r="H26" s="75">
        <f>9.454-4-2.7-2.754</f>
        <v>0</v>
      </c>
      <c r="I26" s="75">
        <v>8.6709999999999994</v>
      </c>
      <c r="J26" s="73">
        <v>52010020003</v>
      </c>
      <c r="K26" s="30" t="s">
        <v>1189</v>
      </c>
      <c r="L26" s="30" t="s">
        <v>1190</v>
      </c>
      <c r="M26" s="22" t="s">
        <v>107</v>
      </c>
      <c r="N26" s="22" t="s">
        <v>373</v>
      </c>
      <c r="O26" s="73" t="s">
        <v>381</v>
      </c>
      <c r="P26" s="22" t="s">
        <v>538</v>
      </c>
      <c r="Q26" s="22" t="s">
        <v>373</v>
      </c>
      <c r="R26" s="22">
        <v>5</v>
      </c>
      <c r="S26" s="21">
        <v>22</v>
      </c>
      <c r="T26" s="22">
        <v>1</v>
      </c>
      <c r="U26" s="21">
        <v>0</v>
      </c>
      <c r="V26" s="21">
        <v>30</v>
      </c>
      <c r="W26" s="21">
        <v>3</v>
      </c>
      <c r="X26" s="21">
        <v>0</v>
      </c>
      <c r="Y26" s="94">
        <v>0</v>
      </c>
      <c r="Z26" s="116">
        <v>0</v>
      </c>
      <c r="AA26" s="87">
        <v>100000000</v>
      </c>
      <c r="AB26" s="29">
        <v>0</v>
      </c>
      <c r="AC26" s="29">
        <v>0</v>
      </c>
      <c r="AD26" s="21">
        <v>0</v>
      </c>
      <c r="AE26" s="29">
        <f t="shared" si="1"/>
        <v>100000000</v>
      </c>
      <c r="AF26" s="30" t="s">
        <v>358</v>
      </c>
    </row>
    <row r="27" spans="1:32" ht="55.2" x14ac:dyDescent="0.3">
      <c r="A27" s="148"/>
      <c r="B27" s="159">
        <v>0</v>
      </c>
      <c r="C27" s="148"/>
      <c r="D27" s="160">
        <v>0</v>
      </c>
      <c r="E27" s="75">
        <v>12.162000000000001</v>
      </c>
      <c r="F27" s="75">
        <f>15.151+2</f>
        <v>17.151</v>
      </c>
      <c r="G27" s="74">
        <v>14.316000000000001</v>
      </c>
      <c r="H27" s="96">
        <f>14.1-4-2-2-1-1.5-1.8-1.8+8.6+4</f>
        <v>12.6</v>
      </c>
      <c r="I27" s="75">
        <v>13.932</v>
      </c>
      <c r="J27" s="73">
        <v>52010020004</v>
      </c>
      <c r="K27" s="30" t="s">
        <v>1191</v>
      </c>
      <c r="L27" s="30" t="s">
        <v>1192</v>
      </c>
      <c r="M27" s="22" t="s">
        <v>144</v>
      </c>
      <c r="N27" s="22" t="s">
        <v>373</v>
      </c>
      <c r="O27" s="73" t="s">
        <v>381</v>
      </c>
      <c r="P27" s="22" t="s">
        <v>539</v>
      </c>
      <c r="Q27" s="22" t="s">
        <v>373</v>
      </c>
      <c r="R27" s="22">
        <v>16</v>
      </c>
      <c r="S27" s="21">
        <v>22</v>
      </c>
      <c r="T27" s="22">
        <v>1</v>
      </c>
      <c r="U27" s="21">
        <v>91</v>
      </c>
      <c r="V27" s="21">
        <v>92</v>
      </c>
      <c r="W27" s="21">
        <v>92</v>
      </c>
      <c r="X27" s="21">
        <v>92</v>
      </c>
      <c r="Y27" s="94">
        <v>92</v>
      </c>
      <c r="Z27" s="122">
        <v>92</v>
      </c>
      <c r="AA27" s="87">
        <v>764697330</v>
      </c>
      <c r="AB27" s="29">
        <v>405404306</v>
      </c>
      <c r="AC27" s="29">
        <v>1265962824</v>
      </c>
      <c r="AD27" s="21">
        <v>1162395000</v>
      </c>
      <c r="AE27" s="29">
        <f t="shared" si="1"/>
        <v>3598459460</v>
      </c>
      <c r="AF27" s="30" t="s">
        <v>358</v>
      </c>
    </row>
    <row r="28" spans="1:32" ht="82.8" x14ac:dyDescent="0.3">
      <c r="A28" s="148"/>
      <c r="B28" s="159">
        <v>0</v>
      </c>
      <c r="C28" s="148"/>
      <c r="D28" s="160">
        <v>0</v>
      </c>
      <c r="E28" s="75">
        <v>0</v>
      </c>
      <c r="F28" s="75">
        <f>5.539+3.383</f>
        <v>8.9220000000000006</v>
      </c>
      <c r="G28" s="74">
        <v>6.508</v>
      </c>
      <c r="H28" s="75">
        <f>6.599+4+1-1-4</f>
        <v>6.5990000000000002</v>
      </c>
      <c r="I28" s="75">
        <v>4.6629999999999994</v>
      </c>
      <c r="J28" s="73">
        <v>52010020005</v>
      </c>
      <c r="K28" s="30" t="s">
        <v>1193</v>
      </c>
      <c r="L28" s="30" t="s">
        <v>1194</v>
      </c>
      <c r="M28" s="22" t="s">
        <v>107</v>
      </c>
      <c r="N28" s="22" t="s">
        <v>373</v>
      </c>
      <c r="O28" s="73" t="s">
        <v>381</v>
      </c>
      <c r="P28" s="22" t="s">
        <v>540</v>
      </c>
      <c r="Q28" s="22" t="s">
        <v>373</v>
      </c>
      <c r="R28" s="22">
        <v>16</v>
      </c>
      <c r="S28" s="21">
        <v>45</v>
      </c>
      <c r="T28" s="22">
        <v>16</v>
      </c>
      <c r="U28" s="21">
        <v>30</v>
      </c>
      <c r="V28" s="21">
        <v>80</v>
      </c>
      <c r="W28" s="21">
        <v>0</v>
      </c>
      <c r="X28" s="21">
        <v>45</v>
      </c>
      <c r="Y28" s="94">
        <v>65</v>
      </c>
      <c r="Z28" s="116">
        <v>80</v>
      </c>
      <c r="AA28" s="87">
        <v>0</v>
      </c>
      <c r="AB28" s="29">
        <v>300000000</v>
      </c>
      <c r="AC28" s="29">
        <v>309000000</v>
      </c>
      <c r="AD28" s="29">
        <v>239357580</v>
      </c>
      <c r="AE28" s="29">
        <f t="shared" si="1"/>
        <v>848357580</v>
      </c>
      <c r="AF28" s="30" t="s">
        <v>1139</v>
      </c>
    </row>
    <row r="29" spans="1:32" ht="69" x14ac:dyDescent="0.3">
      <c r="A29" s="148"/>
      <c r="B29" s="159">
        <v>0</v>
      </c>
      <c r="C29" s="148"/>
      <c r="D29" s="160">
        <v>0</v>
      </c>
      <c r="E29" s="75">
        <v>9.7629999999999999</v>
      </c>
      <c r="F29" s="75">
        <f>5.774-3-2.774</f>
        <v>0</v>
      </c>
      <c r="G29" s="74">
        <f>4.736-2-1.3-1.436</f>
        <v>0</v>
      </c>
      <c r="H29" s="75">
        <f>4.794-4.794</f>
        <v>0</v>
      </c>
      <c r="I29" s="75">
        <v>5.516</v>
      </c>
      <c r="J29" s="73">
        <v>52010020006</v>
      </c>
      <c r="K29" s="30" t="s">
        <v>1195</v>
      </c>
      <c r="L29" s="30" t="s">
        <v>1196</v>
      </c>
      <c r="M29" s="22" t="s">
        <v>144</v>
      </c>
      <c r="N29" s="22" t="s">
        <v>373</v>
      </c>
      <c r="O29" s="73" t="s">
        <v>381</v>
      </c>
      <c r="P29" s="22" t="s">
        <v>541</v>
      </c>
      <c r="Q29" s="22" t="s">
        <v>373</v>
      </c>
      <c r="R29" s="22">
        <v>16</v>
      </c>
      <c r="S29" s="21">
        <v>22</v>
      </c>
      <c r="T29" s="22">
        <v>1</v>
      </c>
      <c r="U29" s="21">
        <v>91</v>
      </c>
      <c r="V29" s="21">
        <v>92</v>
      </c>
      <c r="W29" s="21">
        <v>92</v>
      </c>
      <c r="X29" s="21">
        <v>0</v>
      </c>
      <c r="Y29" s="94">
        <v>0</v>
      </c>
      <c r="Z29" s="116">
        <v>0</v>
      </c>
      <c r="AA29" s="87">
        <v>47915766</v>
      </c>
      <c r="AB29" s="29">
        <v>0</v>
      </c>
      <c r="AC29" s="29">
        <v>0</v>
      </c>
      <c r="AD29" s="21">
        <v>0</v>
      </c>
      <c r="AE29" s="29">
        <f t="shared" si="1"/>
        <v>47915766</v>
      </c>
      <c r="AF29" s="30" t="s">
        <v>358</v>
      </c>
    </row>
    <row r="30" spans="1:32" ht="82.8" x14ac:dyDescent="0.3">
      <c r="A30" s="148"/>
      <c r="B30" s="159">
        <v>0</v>
      </c>
      <c r="C30" s="148"/>
      <c r="D30" s="160">
        <v>0</v>
      </c>
      <c r="E30" s="75">
        <v>0</v>
      </c>
      <c r="F30" s="75">
        <v>5.3890000000000002</v>
      </c>
      <c r="G30" s="74">
        <f>4.368+1.436</f>
        <v>5.8040000000000003</v>
      </c>
      <c r="H30" s="75">
        <f>4.43+4+2-2</f>
        <v>8.43</v>
      </c>
      <c r="I30" s="75">
        <v>3.5459999999999998</v>
      </c>
      <c r="J30" s="73">
        <v>52010020007</v>
      </c>
      <c r="K30" s="30" t="s">
        <v>1197</v>
      </c>
      <c r="L30" s="30" t="s">
        <v>1198</v>
      </c>
      <c r="M30" s="22" t="s">
        <v>107</v>
      </c>
      <c r="N30" s="22" t="s">
        <v>373</v>
      </c>
      <c r="O30" s="73" t="s">
        <v>542</v>
      </c>
      <c r="P30" s="22" t="s">
        <v>1770</v>
      </c>
      <c r="Q30" s="22" t="s">
        <v>373</v>
      </c>
      <c r="R30" s="22">
        <v>16</v>
      </c>
      <c r="S30" s="21">
        <v>45</v>
      </c>
      <c r="T30" s="22">
        <v>18</v>
      </c>
      <c r="U30" s="21">
        <v>0</v>
      </c>
      <c r="V30" s="21">
        <v>1</v>
      </c>
      <c r="W30" s="21">
        <v>0</v>
      </c>
      <c r="X30" s="21">
        <v>1</v>
      </c>
      <c r="Y30" s="94">
        <v>1</v>
      </c>
      <c r="Z30" s="121">
        <v>1</v>
      </c>
      <c r="AA30" s="87">
        <v>0</v>
      </c>
      <c r="AB30" s="29">
        <v>180000000</v>
      </c>
      <c r="AC30" s="29">
        <v>203400000</v>
      </c>
      <c r="AD30" s="29">
        <v>105474060</v>
      </c>
      <c r="AE30" s="29">
        <f t="shared" si="1"/>
        <v>488874060</v>
      </c>
      <c r="AF30" s="30" t="s">
        <v>1139</v>
      </c>
    </row>
    <row r="31" spans="1:32" ht="96.6" x14ac:dyDescent="0.3">
      <c r="A31" s="148"/>
      <c r="B31" s="159">
        <v>0</v>
      </c>
      <c r="C31" s="148"/>
      <c r="D31" s="160">
        <v>0</v>
      </c>
      <c r="E31" s="75">
        <v>12.992999999999999</v>
      </c>
      <c r="F31" s="75">
        <f>7.496+3</f>
        <v>10.496</v>
      </c>
      <c r="G31" s="74">
        <v>11.09</v>
      </c>
      <c r="H31" s="75">
        <v>11.379999999999999</v>
      </c>
      <c r="I31" s="75">
        <v>9.8149999999999995</v>
      </c>
      <c r="J31" s="73">
        <v>52010020008</v>
      </c>
      <c r="K31" s="30" t="s">
        <v>1199</v>
      </c>
      <c r="L31" s="30" t="s">
        <v>1200</v>
      </c>
      <c r="M31" s="22" t="s">
        <v>107</v>
      </c>
      <c r="N31" s="22" t="s">
        <v>373</v>
      </c>
      <c r="O31" s="73" t="s">
        <v>381</v>
      </c>
      <c r="P31" s="22" t="s">
        <v>1771</v>
      </c>
      <c r="Q31" s="22" t="s">
        <v>373</v>
      </c>
      <c r="R31" s="22">
        <v>16</v>
      </c>
      <c r="S31" s="21">
        <v>41</v>
      </c>
      <c r="T31" s="22">
        <v>14</v>
      </c>
      <c r="U31" s="21">
        <v>4</v>
      </c>
      <c r="V31" s="21">
        <v>7</v>
      </c>
      <c r="W31" s="21">
        <v>4</v>
      </c>
      <c r="X31" s="21">
        <v>5</v>
      </c>
      <c r="Y31" s="94">
        <v>6</v>
      </c>
      <c r="Z31" s="116">
        <v>7</v>
      </c>
      <c r="AA31" s="87">
        <v>270000000</v>
      </c>
      <c r="AB31" s="29">
        <v>847320000</v>
      </c>
      <c r="AC31" s="29">
        <v>900000000</v>
      </c>
      <c r="AD31" s="29">
        <v>300000000</v>
      </c>
      <c r="AE31" s="29">
        <f t="shared" si="1"/>
        <v>2317320000</v>
      </c>
      <c r="AF31" s="30" t="s">
        <v>370</v>
      </c>
    </row>
    <row r="32" spans="1:32" ht="110.4" x14ac:dyDescent="0.3">
      <c r="A32" s="148"/>
      <c r="B32" s="159">
        <v>0</v>
      </c>
      <c r="C32" s="148"/>
      <c r="D32" s="160">
        <v>0</v>
      </c>
      <c r="E32" s="75">
        <v>15.303000000000001</v>
      </c>
      <c r="F32" s="75">
        <v>11.903</v>
      </c>
      <c r="G32" s="74">
        <v>11.648999999999999</v>
      </c>
      <c r="H32" s="75">
        <f>11.685+1.5</f>
        <v>13.185</v>
      </c>
      <c r="I32" s="75">
        <v>12.635</v>
      </c>
      <c r="J32" s="73">
        <v>52010020009</v>
      </c>
      <c r="K32" s="30" t="s">
        <v>1201</v>
      </c>
      <c r="L32" s="30" t="s">
        <v>1202</v>
      </c>
      <c r="M32" s="22" t="s">
        <v>107</v>
      </c>
      <c r="N32" s="22" t="s">
        <v>373</v>
      </c>
      <c r="O32" s="73" t="s">
        <v>381</v>
      </c>
      <c r="P32" s="22" t="s">
        <v>543</v>
      </c>
      <c r="Q32" s="22" t="s">
        <v>373</v>
      </c>
      <c r="R32" s="22">
        <v>16</v>
      </c>
      <c r="S32" s="21">
        <v>19</v>
      </c>
      <c r="T32" s="22">
        <v>2</v>
      </c>
      <c r="U32" s="21">
        <v>1300</v>
      </c>
      <c r="V32" s="21">
        <v>6900</v>
      </c>
      <c r="W32" s="21">
        <v>2200</v>
      </c>
      <c r="X32" s="21">
        <v>3500</v>
      </c>
      <c r="Y32" s="94">
        <v>5250</v>
      </c>
      <c r="Z32" s="116">
        <v>6900</v>
      </c>
      <c r="AA32" s="87">
        <v>1213687777</v>
      </c>
      <c r="AB32" s="29">
        <v>811657654</v>
      </c>
      <c r="AC32" s="29">
        <v>911536824</v>
      </c>
      <c r="AD32" s="29">
        <v>834372824</v>
      </c>
      <c r="AE32" s="29">
        <f t="shared" si="1"/>
        <v>3771255079</v>
      </c>
      <c r="AF32" s="30" t="s">
        <v>356</v>
      </c>
    </row>
    <row r="33" spans="1:32" ht="82.8" x14ac:dyDescent="0.3">
      <c r="A33" s="148"/>
      <c r="B33" s="159">
        <v>0</v>
      </c>
      <c r="C33" s="148"/>
      <c r="D33" s="160">
        <v>0</v>
      </c>
      <c r="E33" s="75">
        <v>0</v>
      </c>
      <c r="F33" s="75">
        <v>5.8620000000000001</v>
      </c>
      <c r="G33" s="74">
        <f>4.223+1.3</f>
        <v>5.5229999999999997</v>
      </c>
      <c r="H33" s="75">
        <f>3.937+4.794+2-2</f>
        <v>8.7309999999999999</v>
      </c>
      <c r="I33" s="75">
        <v>5.93</v>
      </c>
      <c r="J33" s="73">
        <v>52010020010</v>
      </c>
      <c r="K33" s="30" t="s">
        <v>1203</v>
      </c>
      <c r="L33" s="30" t="s">
        <v>1204</v>
      </c>
      <c r="M33" s="22" t="s">
        <v>107</v>
      </c>
      <c r="N33" s="22" t="s">
        <v>373</v>
      </c>
      <c r="O33" s="73" t="s">
        <v>381</v>
      </c>
      <c r="P33" s="22" t="s">
        <v>544</v>
      </c>
      <c r="Q33" s="22" t="s">
        <v>373</v>
      </c>
      <c r="R33" s="22">
        <v>16</v>
      </c>
      <c r="S33" s="21">
        <v>45</v>
      </c>
      <c r="T33" s="22">
        <v>16</v>
      </c>
      <c r="U33" s="21">
        <v>0</v>
      </c>
      <c r="V33" s="21">
        <v>4</v>
      </c>
      <c r="W33" s="21">
        <v>0</v>
      </c>
      <c r="X33" s="21">
        <v>2</v>
      </c>
      <c r="Y33" s="94">
        <v>3</v>
      </c>
      <c r="Z33" s="116">
        <v>4</v>
      </c>
      <c r="AA33" s="87">
        <v>0</v>
      </c>
      <c r="AB33" s="29">
        <v>150000000</v>
      </c>
      <c r="AC33" s="29">
        <v>159500000</v>
      </c>
      <c r="AD33" s="29">
        <v>171053100</v>
      </c>
      <c r="AE33" s="29">
        <f t="shared" si="1"/>
        <v>480553100</v>
      </c>
      <c r="AF33" s="30" t="s">
        <v>1139</v>
      </c>
    </row>
    <row r="34" spans="1:32" ht="51" customHeight="1" x14ac:dyDescent="0.3">
      <c r="A34" s="148"/>
      <c r="B34" s="159">
        <v>0</v>
      </c>
      <c r="C34" s="148" t="s">
        <v>1205</v>
      </c>
      <c r="D34" s="160">
        <v>33.616</v>
      </c>
      <c r="E34" s="75">
        <v>10.433</v>
      </c>
      <c r="F34" s="75">
        <v>8.1140000000000008</v>
      </c>
      <c r="G34" s="75">
        <v>0</v>
      </c>
      <c r="H34" s="75">
        <f>0+3.5+1.3+3-7.8</f>
        <v>0</v>
      </c>
      <c r="I34" s="75">
        <v>4.6370000000000005</v>
      </c>
      <c r="J34" s="73">
        <v>52010030001</v>
      </c>
      <c r="K34" s="30" t="s">
        <v>1206</v>
      </c>
      <c r="L34" s="30" t="s">
        <v>1207</v>
      </c>
      <c r="M34" s="22" t="s">
        <v>144</v>
      </c>
      <c r="N34" s="22" t="s">
        <v>373</v>
      </c>
      <c r="O34" s="73" t="s">
        <v>381</v>
      </c>
      <c r="P34" s="22" t="s">
        <v>545</v>
      </c>
      <c r="Q34" s="22" t="s">
        <v>373</v>
      </c>
      <c r="R34" s="22">
        <v>16</v>
      </c>
      <c r="S34" s="21">
        <v>45</v>
      </c>
      <c r="T34" s="22">
        <v>18</v>
      </c>
      <c r="U34" s="21">
        <v>0</v>
      </c>
      <c r="V34" s="21">
        <v>1</v>
      </c>
      <c r="W34" s="21">
        <v>1</v>
      </c>
      <c r="X34" s="21">
        <v>1</v>
      </c>
      <c r="Y34" s="94">
        <v>0</v>
      </c>
      <c r="Z34" s="116">
        <v>0</v>
      </c>
      <c r="AA34" s="87">
        <v>125000000</v>
      </c>
      <c r="AB34" s="29">
        <v>262500000</v>
      </c>
      <c r="AC34" s="29">
        <v>0</v>
      </c>
      <c r="AD34" s="21">
        <v>0</v>
      </c>
      <c r="AE34" s="29">
        <f t="shared" si="1"/>
        <v>387500000</v>
      </c>
      <c r="AF34" s="30" t="s">
        <v>372</v>
      </c>
    </row>
    <row r="35" spans="1:32" ht="55.2" x14ac:dyDescent="0.3">
      <c r="A35" s="148"/>
      <c r="B35" s="159">
        <v>0</v>
      </c>
      <c r="C35" s="148"/>
      <c r="D35" s="160">
        <v>0</v>
      </c>
      <c r="E35" s="75">
        <v>0</v>
      </c>
      <c r="F35" s="75">
        <v>8.7729999999999997</v>
      </c>
      <c r="G35" s="75">
        <v>8.577</v>
      </c>
      <c r="H35" s="75">
        <f>10.972-1.3</f>
        <v>9.6719999999999988</v>
      </c>
      <c r="I35" s="75">
        <v>7.0809999999999995</v>
      </c>
      <c r="J35" s="73">
        <v>52010030002</v>
      </c>
      <c r="K35" s="30" t="s">
        <v>1208</v>
      </c>
      <c r="L35" s="30" t="s">
        <v>1209</v>
      </c>
      <c r="M35" s="22" t="s">
        <v>144</v>
      </c>
      <c r="N35" s="22" t="s">
        <v>373</v>
      </c>
      <c r="O35" s="73" t="s">
        <v>381</v>
      </c>
      <c r="P35" s="22" t="s">
        <v>546</v>
      </c>
      <c r="Q35" s="22" t="s">
        <v>373</v>
      </c>
      <c r="R35" s="22">
        <v>16</v>
      </c>
      <c r="S35" s="21">
        <v>45</v>
      </c>
      <c r="T35" s="22">
        <v>18</v>
      </c>
      <c r="U35" s="21">
        <v>0</v>
      </c>
      <c r="V35" s="21">
        <v>13</v>
      </c>
      <c r="W35" s="21">
        <v>0</v>
      </c>
      <c r="X35" s="21">
        <v>13</v>
      </c>
      <c r="Y35" s="94">
        <v>13</v>
      </c>
      <c r="Z35" s="116">
        <v>13</v>
      </c>
      <c r="AA35" s="87">
        <v>0</v>
      </c>
      <c r="AB35" s="29">
        <v>1550000000</v>
      </c>
      <c r="AC35" s="29">
        <v>1128812100</v>
      </c>
      <c r="AD35" s="29">
        <v>760096903</v>
      </c>
      <c r="AE35" s="29">
        <f t="shared" si="1"/>
        <v>3438909003</v>
      </c>
      <c r="AF35" s="30" t="s">
        <v>372</v>
      </c>
    </row>
    <row r="36" spans="1:32" ht="55.2" x14ac:dyDescent="0.3">
      <c r="A36" s="148"/>
      <c r="B36" s="159">
        <v>0</v>
      </c>
      <c r="C36" s="148"/>
      <c r="D36" s="160">
        <v>0</v>
      </c>
      <c r="E36" s="75">
        <v>17.093</v>
      </c>
      <c r="F36" s="75">
        <v>9.2929999999999993</v>
      </c>
      <c r="G36" s="75">
        <v>10.914999999999999</v>
      </c>
      <c r="H36" s="75">
        <f>12.605-4</f>
        <v>8.6050000000000004</v>
      </c>
      <c r="I36" s="75">
        <v>12.477</v>
      </c>
      <c r="J36" s="73">
        <v>52010030003</v>
      </c>
      <c r="K36" s="30" t="s">
        <v>1210</v>
      </c>
      <c r="L36" s="30" t="s">
        <v>1211</v>
      </c>
      <c r="M36" s="22" t="s">
        <v>144</v>
      </c>
      <c r="N36" s="22" t="s">
        <v>373</v>
      </c>
      <c r="O36" s="73" t="s">
        <v>381</v>
      </c>
      <c r="P36" s="22" t="s">
        <v>547</v>
      </c>
      <c r="Q36" s="22" t="s">
        <v>373</v>
      </c>
      <c r="R36" s="22">
        <v>16</v>
      </c>
      <c r="S36" s="21">
        <v>45</v>
      </c>
      <c r="T36" s="22">
        <v>18</v>
      </c>
      <c r="U36" s="21">
        <v>3</v>
      </c>
      <c r="V36" s="21">
        <v>3</v>
      </c>
      <c r="W36" s="21">
        <v>3</v>
      </c>
      <c r="X36" s="21">
        <v>3</v>
      </c>
      <c r="Y36" s="94">
        <v>3</v>
      </c>
      <c r="Z36" s="116">
        <v>3</v>
      </c>
      <c r="AA36" s="87">
        <v>2521358677</v>
      </c>
      <c r="AB36" s="29">
        <v>1807949884</v>
      </c>
      <c r="AC36" s="29">
        <v>2517920000</v>
      </c>
      <c r="AD36" s="29">
        <v>756307691</v>
      </c>
      <c r="AE36" s="29">
        <f t="shared" si="1"/>
        <v>7603536252</v>
      </c>
      <c r="AF36" s="30" t="s">
        <v>372</v>
      </c>
    </row>
    <row r="37" spans="1:32" ht="41.4" x14ac:dyDescent="0.3">
      <c r="A37" s="148"/>
      <c r="B37" s="159">
        <v>0</v>
      </c>
      <c r="C37" s="148"/>
      <c r="D37" s="160">
        <v>0</v>
      </c>
      <c r="E37" s="75">
        <v>27.58</v>
      </c>
      <c r="F37" s="75">
        <v>9.8179999999999996</v>
      </c>
      <c r="G37" s="75">
        <v>12.994</v>
      </c>
      <c r="H37" s="75">
        <f>16.918-3+4+8</f>
        <v>25.917999999999999</v>
      </c>
      <c r="I37" s="75">
        <v>16.827000000000002</v>
      </c>
      <c r="J37" s="73">
        <v>52010030004</v>
      </c>
      <c r="K37" s="30" t="s">
        <v>1212</v>
      </c>
      <c r="L37" s="30" t="s">
        <v>1213</v>
      </c>
      <c r="M37" s="22" t="s">
        <v>144</v>
      </c>
      <c r="N37" s="22" t="s">
        <v>373</v>
      </c>
      <c r="O37" s="73" t="s">
        <v>381</v>
      </c>
      <c r="P37" s="22" t="s">
        <v>548</v>
      </c>
      <c r="Q37" s="22" t="s">
        <v>373</v>
      </c>
      <c r="R37" s="22">
        <v>16</v>
      </c>
      <c r="S37" s="21">
        <v>45</v>
      </c>
      <c r="T37" s="22">
        <v>18</v>
      </c>
      <c r="U37" s="21">
        <v>5</v>
      </c>
      <c r="V37" s="21">
        <v>6</v>
      </c>
      <c r="W37" s="21">
        <v>5</v>
      </c>
      <c r="X37" s="21">
        <v>6</v>
      </c>
      <c r="Y37" s="94">
        <v>6</v>
      </c>
      <c r="Z37" s="116">
        <v>6</v>
      </c>
      <c r="AA37" s="87">
        <v>15994716565</v>
      </c>
      <c r="AB37" s="29">
        <v>10462267100</v>
      </c>
      <c r="AC37" s="29">
        <v>12081656816</v>
      </c>
      <c r="AD37" s="29">
        <v>12571001512</v>
      </c>
      <c r="AE37" s="29">
        <f t="shared" si="1"/>
        <v>51109641993</v>
      </c>
      <c r="AF37" s="30" t="s">
        <v>372</v>
      </c>
    </row>
    <row r="38" spans="1:32" ht="41.4" x14ac:dyDescent="0.3">
      <c r="A38" s="148"/>
      <c r="B38" s="159">
        <v>0</v>
      </c>
      <c r="C38" s="148"/>
      <c r="D38" s="160">
        <v>0</v>
      </c>
      <c r="E38" s="75">
        <v>11.466999999999999</v>
      </c>
      <c r="F38" s="75">
        <v>37.456000000000003</v>
      </c>
      <c r="G38" s="75">
        <v>37.402000000000001</v>
      </c>
      <c r="H38" s="75">
        <f>33.687-3.5-4-8-8</f>
        <v>10.186999999999998</v>
      </c>
      <c r="I38" s="75">
        <v>30.003</v>
      </c>
      <c r="J38" s="73">
        <v>52010030005</v>
      </c>
      <c r="K38" s="30" t="s">
        <v>1214</v>
      </c>
      <c r="L38" s="30" t="s">
        <v>1215</v>
      </c>
      <c r="M38" s="22" t="s">
        <v>107</v>
      </c>
      <c r="N38" s="22" t="s">
        <v>373</v>
      </c>
      <c r="O38" s="73" t="s">
        <v>381</v>
      </c>
      <c r="P38" s="22" t="s">
        <v>549</v>
      </c>
      <c r="Q38" s="22" t="s">
        <v>373</v>
      </c>
      <c r="R38" s="22">
        <v>16</v>
      </c>
      <c r="S38" s="21">
        <v>45</v>
      </c>
      <c r="T38" s="22">
        <v>18</v>
      </c>
      <c r="U38" s="21">
        <v>12</v>
      </c>
      <c r="V38" s="21">
        <v>22</v>
      </c>
      <c r="W38" s="21">
        <v>14</v>
      </c>
      <c r="X38" s="21">
        <v>16</v>
      </c>
      <c r="Y38" s="94">
        <v>21</v>
      </c>
      <c r="Z38" s="116">
        <v>22</v>
      </c>
      <c r="AA38" s="87">
        <v>149639310</v>
      </c>
      <c r="AB38" s="29">
        <v>3310390477</v>
      </c>
      <c r="AC38" s="29">
        <v>2047163780</v>
      </c>
      <c r="AD38" s="29">
        <v>2157891881</v>
      </c>
      <c r="AE38" s="29">
        <f t="shared" si="1"/>
        <v>7665085448</v>
      </c>
      <c r="AF38" s="30" t="s">
        <v>372</v>
      </c>
    </row>
    <row r="39" spans="1:32" ht="55.2" x14ac:dyDescent="0.3">
      <c r="A39" s="148"/>
      <c r="B39" s="159">
        <v>0</v>
      </c>
      <c r="C39" s="148"/>
      <c r="D39" s="160">
        <v>0</v>
      </c>
      <c r="E39" s="75">
        <v>14.358000000000001</v>
      </c>
      <c r="F39" s="75">
        <v>8.5670000000000002</v>
      </c>
      <c r="G39" s="75">
        <v>8.484</v>
      </c>
      <c r="H39" s="75">
        <f>5.653+4</f>
        <v>9.6529999999999987</v>
      </c>
      <c r="I39" s="75">
        <v>9.2649999999999988</v>
      </c>
      <c r="J39" s="73">
        <v>52010030006</v>
      </c>
      <c r="K39" s="30" t="s">
        <v>1216</v>
      </c>
      <c r="L39" s="30" t="s">
        <v>1217</v>
      </c>
      <c r="M39" s="22" t="s">
        <v>144</v>
      </c>
      <c r="N39" s="22" t="s">
        <v>373</v>
      </c>
      <c r="O39" s="73" t="s">
        <v>381</v>
      </c>
      <c r="P39" s="22" t="s">
        <v>550</v>
      </c>
      <c r="Q39" s="22" t="s">
        <v>373</v>
      </c>
      <c r="R39" s="22">
        <v>16</v>
      </c>
      <c r="S39" s="21">
        <v>45</v>
      </c>
      <c r="T39" s="22">
        <v>18</v>
      </c>
      <c r="U39" s="21">
        <v>0</v>
      </c>
      <c r="V39" s="21">
        <v>60</v>
      </c>
      <c r="W39" s="21">
        <v>15</v>
      </c>
      <c r="X39" s="21">
        <v>30</v>
      </c>
      <c r="Y39" s="94">
        <v>45</v>
      </c>
      <c r="Z39" s="116">
        <v>60</v>
      </c>
      <c r="AA39" s="87">
        <v>1052424987</v>
      </c>
      <c r="AB39" s="29">
        <v>1319850000</v>
      </c>
      <c r="AC39" s="29">
        <v>2800498000</v>
      </c>
      <c r="AD39" s="29">
        <v>1759061141</v>
      </c>
      <c r="AE39" s="29">
        <f t="shared" si="1"/>
        <v>6931834128</v>
      </c>
      <c r="AF39" s="30" t="s">
        <v>372</v>
      </c>
    </row>
    <row r="40" spans="1:32" ht="69" x14ac:dyDescent="0.3">
      <c r="A40" s="148"/>
      <c r="B40" s="159">
        <v>0</v>
      </c>
      <c r="C40" s="148"/>
      <c r="D40" s="160">
        <v>0</v>
      </c>
      <c r="E40" s="75">
        <v>19.068999999999999</v>
      </c>
      <c r="F40" s="75">
        <v>8.6529999999999987</v>
      </c>
      <c r="G40" s="75">
        <v>12.452999999999999</v>
      </c>
      <c r="H40" s="75">
        <f>11.597+7.8+8</f>
        <v>27.396999999999998</v>
      </c>
      <c r="I40" s="75">
        <v>12.943</v>
      </c>
      <c r="J40" s="73">
        <v>52010030007</v>
      </c>
      <c r="K40" s="30" t="s">
        <v>1218</v>
      </c>
      <c r="L40" s="30" t="s">
        <v>1219</v>
      </c>
      <c r="M40" s="22" t="s">
        <v>144</v>
      </c>
      <c r="N40" s="22" t="s">
        <v>373</v>
      </c>
      <c r="O40" s="73" t="s">
        <v>381</v>
      </c>
      <c r="P40" s="22" t="s">
        <v>1772</v>
      </c>
      <c r="Q40" s="22" t="s">
        <v>373</v>
      </c>
      <c r="R40" s="22">
        <v>16</v>
      </c>
      <c r="S40" s="21">
        <v>45</v>
      </c>
      <c r="T40" s="22">
        <v>18</v>
      </c>
      <c r="U40" s="21">
        <v>1946</v>
      </c>
      <c r="V40" s="21">
        <v>2946</v>
      </c>
      <c r="W40" s="21">
        <v>1996</v>
      </c>
      <c r="X40" s="21">
        <v>2263</v>
      </c>
      <c r="Y40" s="94">
        <v>2481</v>
      </c>
      <c r="Z40" s="116">
        <v>2946</v>
      </c>
      <c r="AA40" s="87">
        <v>12917292182</v>
      </c>
      <c r="AB40" s="29">
        <v>7898091230</v>
      </c>
      <c r="AC40" s="29">
        <v>9825827892</v>
      </c>
      <c r="AD40" s="29">
        <v>13684907954</v>
      </c>
      <c r="AE40" s="29">
        <f t="shared" si="1"/>
        <v>44326119258</v>
      </c>
      <c r="AF40" s="30" t="s">
        <v>372</v>
      </c>
    </row>
    <row r="41" spans="1:32" ht="69" x14ac:dyDescent="0.3">
      <c r="A41" s="148"/>
      <c r="B41" s="159">
        <v>0</v>
      </c>
      <c r="C41" s="148"/>
      <c r="D41" s="160">
        <v>0</v>
      </c>
      <c r="E41" s="75">
        <v>0</v>
      </c>
      <c r="F41" s="75">
        <v>9.3259999999999987</v>
      </c>
      <c r="G41" s="75">
        <v>9.1750000000000007</v>
      </c>
      <c r="H41" s="75">
        <v>8.5680000000000014</v>
      </c>
      <c r="I41" s="75">
        <v>6.7669999999999995</v>
      </c>
      <c r="J41" s="73">
        <v>52010030008</v>
      </c>
      <c r="K41" s="30" t="s">
        <v>1220</v>
      </c>
      <c r="L41" s="30" t="s">
        <v>1221</v>
      </c>
      <c r="M41" s="22" t="s">
        <v>107</v>
      </c>
      <c r="N41" s="22" t="s">
        <v>373</v>
      </c>
      <c r="O41" s="73" t="s">
        <v>381</v>
      </c>
      <c r="P41" s="22" t="s">
        <v>1773</v>
      </c>
      <c r="Q41" s="22" t="s">
        <v>373</v>
      </c>
      <c r="R41" s="22">
        <v>16</v>
      </c>
      <c r="S41" s="21">
        <v>45</v>
      </c>
      <c r="T41" s="22">
        <v>18</v>
      </c>
      <c r="U41" s="21">
        <v>0</v>
      </c>
      <c r="V41" s="21">
        <v>45</v>
      </c>
      <c r="W41" s="21">
        <v>0</v>
      </c>
      <c r="X41" s="21">
        <v>15</v>
      </c>
      <c r="Y41" s="94">
        <v>30</v>
      </c>
      <c r="Z41" s="116">
        <v>45</v>
      </c>
      <c r="AA41" s="87">
        <v>0</v>
      </c>
      <c r="AB41" s="29">
        <v>808613980</v>
      </c>
      <c r="AC41" s="29">
        <v>633143800</v>
      </c>
      <c r="AD41" s="29">
        <v>467219202</v>
      </c>
      <c r="AE41" s="29">
        <f t="shared" si="1"/>
        <v>1908976982</v>
      </c>
      <c r="AF41" s="30" t="s">
        <v>372</v>
      </c>
    </row>
    <row r="42" spans="1:32" ht="38.25" customHeight="1" x14ac:dyDescent="0.3">
      <c r="A42" s="148"/>
      <c r="B42" s="159">
        <v>0</v>
      </c>
      <c r="C42" s="148" t="s">
        <v>1222</v>
      </c>
      <c r="D42" s="160">
        <v>11.672000000000001</v>
      </c>
      <c r="E42" s="75">
        <v>0</v>
      </c>
      <c r="F42" s="75">
        <v>21.790000000000003</v>
      </c>
      <c r="G42" s="74">
        <f>35.374-20-10-5.374</f>
        <v>0</v>
      </c>
      <c r="H42" s="75">
        <f>21.588-6+13</f>
        <v>28.588000000000001</v>
      </c>
      <c r="I42" s="75">
        <v>19.687999999999999</v>
      </c>
      <c r="J42" s="73">
        <v>52010040001</v>
      </c>
      <c r="K42" s="30" t="s">
        <v>1223</v>
      </c>
      <c r="L42" s="30" t="s">
        <v>1224</v>
      </c>
      <c r="M42" s="22" t="s">
        <v>144</v>
      </c>
      <c r="N42" s="22" t="s">
        <v>373</v>
      </c>
      <c r="O42" s="73" t="s">
        <v>381</v>
      </c>
      <c r="P42" s="22" t="s">
        <v>551</v>
      </c>
      <c r="Q42" s="22" t="s">
        <v>373</v>
      </c>
      <c r="R42" s="22">
        <v>16</v>
      </c>
      <c r="S42" s="21">
        <v>12</v>
      </c>
      <c r="T42" s="22">
        <v>11</v>
      </c>
      <c r="U42" s="21">
        <v>2</v>
      </c>
      <c r="V42" s="21">
        <v>2</v>
      </c>
      <c r="W42" s="21">
        <v>0</v>
      </c>
      <c r="X42" s="21">
        <v>2</v>
      </c>
      <c r="Y42" s="94">
        <v>0</v>
      </c>
      <c r="Z42" s="116">
        <v>2</v>
      </c>
      <c r="AA42" s="87">
        <v>0</v>
      </c>
      <c r="AB42" s="29">
        <v>415248214</v>
      </c>
      <c r="AC42" s="29">
        <v>0</v>
      </c>
      <c r="AD42" s="29">
        <v>3283399046</v>
      </c>
      <c r="AE42" s="29">
        <f t="shared" si="1"/>
        <v>3698647260</v>
      </c>
      <c r="AF42" s="30" t="s">
        <v>372</v>
      </c>
    </row>
    <row r="43" spans="1:32" ht="82.8" x14ac:dyDescent="0.3">
      <c r="A43" s="148"/>
      <c r="B43" s="159">
        <v>0</v>
      </c>
      <c r="C43" s="148"/>
      <c r="D43" s="160">
        <v>0</v>
      </c>
      <c r="E43" s="75">
        <v>0</v>
      </c>
      <c r="F43" s="75">
        <f>12.921+1.998</f>
        <v>14.918999999999999</v>
      </c>
      <c r="G43" s="74">
        <f>8.178+8</f>
        <v>16.178000000000001</v>
      </c>
      <c r="H43" s="75">
        <f>11.245-3</f>
        <v>8.2449999999999992</v>
      </c>
      <c r="I43" s="75">
        <v>8.0860000000000003</v>
      </c>
      <c r="J43" s="73">
        <v>52010040002</v>
      </c>
      <c r="K43" s="30" t="s">
        <v>1225</v>
      </c>
      <c r="L43" s="30" t="s">
        <v>1226</v>
      </c>
      <c r="M43" s="22" t="s">
        <v>107</v>
      </c>
      <c r="N43" s="22" t="s">
        <v>373</v>
      </c>
      <c r="O43" s="73" t="s">
        <v>381</v>
      </c>
      <c r="P43" s="22" t="s">
        <v>552</v>
      </c>
      <c r="Q43" s="22" t="s">
        <v>373</v>
      </c>
      <c r="R43" s="22">
        <v>16</v>
      </c>
      <c r="S43" s="21">
        <v>12</v>
      </c>
      <c r="T43" s="22">
        <v>11</v>
      </c>
      <c r="U43" s="21">
        <v>0</v>
      </c>
      <c r="V43" s="21">
        <v>200</v>
      </c>
      <c r="W43" s="21">
        <v>0</v>
      </c>
      <c r="X43" s="21">
        <v>50</v>
      </c>
      <c r="Y43" s="94">
        <v>125</v>
      </c>
      <c r="Z43" s="116">
        <v>200</v>
      </c>
      <c r="AA43" s="87">
        <v>0</v>
      </c>
      <c r="AB43" s="29">
        <v>289235200</v>
      </c>
      <c r="AC43" s="29">
        <v>669917895</v>
      </c>
      <c r="AD43" s="29">
        <v>298109376</v>
      </c>
      <c r="AE43" s="29">
        <f t="shared" si="1"/>
        <v>1257262471</v>
      </c>
      <c r="AF43" s="30" t="s">
        <v>372</v>
      </c>
    </row>
    <row r="44" spans="1:32" ht="41.4" x14ac:dyDescent="0.3">
      <c r="A44" s="148"/>
      <c r="B44" s="159">
        <v>0</v>
      </c>
      <c r="C44" s="148"/>
      <c r="D44" s="160">
        <v>0</v>
      </c>
      <c r="E44" s="75">
        <v>0</v>
      </c>
      <c r="F44" s="75">
        <f>14.711+2</f>
        <v>16.710999999999999</v>
      </c>
      <c r="G44" s="74">
        <f>8.396+5.374</f>
        <v>13.77</v>
      </c>
      <c r="H44" s="75">
        <f>13.58-4+1</f>
        <v>10.58</v>
      </c>
      <c r="I44" s="75">
        <v>9.1719999999999988</v>
      </c>
      <c r="J44" s="73">
        <v>52010040003</v>
      </c>
      <c r="K44" s="30" t="s">
        <v>1227</v>
      </c>
      <c r="L44" s="30" t="s">
        <v>1228</v>
      </c>
      <c r="M44" s="22" t="s">
        <v>144</v>
      </c>
      <c r="N44" s="22" t="s">
        <v>373</v>
      </c>
      <c r="O44" s="73" t="s">
        <v>381</v>
      </c>
      <c r="P44" s="22" t="s">
        <v>553</v>
      </c>
      <c r="Q44" s="22" t="s">
        <v>373</v>
      </c>
      <c r="R44" s="22">
        <v>16</v>
      </c>
      <c r="S44" s="21">
        <v>12</v>
      </c>
      <c r="T44" s="22">
        <v>11</v>
      </c>
      <c r="U44" s="21">
        <v>2</v>
      </c>
      <c r="V44" s="21">
        <v>2</v>
      </c>
      <c r="W44" s="21">
        <v>0</v>
      </c>
      <c r="X44" s="21">
        <v>2</v>
      </c>
      <c r="Y44" s="94">
        <v>2</v>
      </c>
      <c r="Z44" s="116">
        <v>2</v>
      </c>
      <c r="AA44" s="87">
        <v>0</v>
      </c>
      <c r="AB44" s="29">
        <v>420000000</v>
      </c>
      <c r="AC44" s="29">
        <v>300000000</v>
      </c>
      <c r="AD44" s="29">
        <v>498023356</v>
      </c>
      <c r="AE44" s="29">
        <f t="shared" si="1"/>
        <v>1218023356</v>
      </c>
      <c r="AF44" s="30" t="s">
        <v>372</v>
      </c>
    </row>
    <row r="45" spans="1:32" ht="41.4" x14ac:dyDescent="0.3">
      <c r="A45" s="148"/>
      <c r="B45" s="159">
        <v>0</v>
      </c>
      <c r="C45" s="148"/>
      <c r="D45" s="160">
        <v>0</v>
      </c>
      <c r="E45" s="75">
        <v>0</v>
      </c>
      <c r="F45" s="75">
        <f>12.494+2</f>
        <v>14.494</v>
      </c>
      <c r="G45" s="74">
        <f>8.249+3.41</f>
        <v>11.659000000000001</v>
      </c>
      <c r="H45" s="75">
        <v>12.747</v>
      </c>
      <c r="I45" s="75">
        <v>8.3719999999999999</v>
      </c>
      <c r="J45" s="73">
        <v>52010040004</v>
      </c>
      <c r="K45" s="30" t="s">
        <v>1229</v>
      </c>
      <c r="L45" s="30" t="s">
        <v>1230</v>
      </c>
      <c r="M45" s="22" t="s">
        <v>144</v>
      </c>
      <c r="N45" s="22" t="s">
        <v>373</v>
      </c>
      <c r="O45" s="73" t="s">
        <v>381</v>
      </c>
      <c r="P45" s="22" t="s">
        <v>554</v>
      </c>
      <c r="Q45" s="22" t="s">
        <v>373</v>
      </c>
      <c r="R45" s="22">
        <v>16</v>
      </c>
      <c r="S45" s="21">
        <v>12</v>
      </c>
      <c r="T45" s="22">
        <v>18</v>
      </c>
      <c r="U45" s="21">
        <v>0</v>
      </c>
      <c r="V45" s="21">
        <v>1</v>
      </c>
      <c r="W45" s="21">
        <v>0</v>
      </c>
      <c r="X45" s="21">
        <v>1</v>
      </c>
      <c r="Y45" s="94">
        <v>1</v>
      </c>
      <c r="Z45" s="116">
        <v>1</v>
      </c>
      <c r="AA45" s="87">
        <v>0</v>
      </c>
      <c r="AB45" s="29">
        <v>500000000</v>
      </c>
      <c r="AC45" s="29">
        <v>200000000</v>
      </c>
      <c r="AD45" s="29">
        <v>404133345</v>
      </c>
      <c r="AE45" s="29">
        <f t="shared" si="1"/>
        <v>1104133345</v>
      </c>
      <c r="AF45" s="30" t="s">
        <v>372</v>
      </c>
    </row>
    <row r="46" spans="1:32" ht="41.4" x14ac:dyDescent="0.3">
      <c r="A46" s="148"/>
      <c r="B46" s="159">
        <v>0</v>
      </c>
      <c r="C46" s="148"/>
      <c r="D46" s="160">
        <v>0</v>
      </c>
      <c r="E46" s="75">
        <v>56.911000000000001</v>
      </c>
      <c r="F46" s="75">
        <f>20.988+3</f>
        <v>23.988</v>
      </c>
      <c r="G46" s="74">
        <f>8.474+10</f>
        <v>18.474</v>
      </c>
      <c r="H46" s="75">
        <f>26.735-8-3-1</f>
        <v>14.734999999999999</v>
      </c>
      <c r="I46" s="75">
        <v>28.277000000000001</v>
      </c>
      <c r="J46" s="73">
        <v>52010040005</v>
      </c>
      <c r="K46" s="30" t="s">
        <v>1231</v>
      </c>
      <c r="L46" s="30" t="s">
        <v>1232</v>
      </c>
      <c r="M46" s="22" t="s">
        <v>107</v>
      </c>
      <c r="N46" s="22" t="s">
        <v>373</v>
      </c>
      <c r="O46" s="73" t="s">
        <v>381</v>
      </c>
      <c r="P46" s="22" t="s">
        <v>555</v>
      </c>
      <c r="Q46" s="22" t="s">
        <v>373</v>
      </c>
      <c r="R46" s="22">
        <v>16</v>
      </c>
      <c r="S46" s="21">
        <v>45</v>
      </c>
      <c r="T46" s="22">
        <v>18</v>
      </c>
      <c r="U46" s="21">
        <v>17</v>
      </c>
      <c r="V46" s="21">
        <v>56</v>
      </c>
      <c r="W46" s="21">
        <v>20</v>
      </c>
      <c r="X46" s="21">
        <v>28</v>
      </c>
      <c r="Y46" s="94">
        <v>41</v>
      </c>
      <c r="Z46" s="116">
        <v>56</v>
      </c>
      <c r="AA46" s="87">
        <v>299998890</v>
      </c>
      <c r="AB46" s="29">
        <v>1374763757</v>
      </c>
      <c r="AC46" s="29">
        <v>800000000</v>
      </c>
      <c r="AD46" s="29">
        <v>800000000</v>
      </c>
      <c r="AE46" s="29">
        <f t="shared" si="1"/>
        <v>3274762647</v>
      </c>
      <c r="AF46" s="30" t="s">
        <v>372</v>
      </c>
    </row>
    <row r="47" spans="1:32" ht="41.4" x14ac:dyDescent="0.3">
      <c r="A47" s="148"/>
      <c r="B47" s="159">
        <v>0</v>
      </c>
      <c r="C47" s="148"/>
      <c r="D47" s="160">
        <v>0</v>
      </c>
      <c r="E47" s="75">
        <v>0</v>
      </c>
      <c r="F47" s="75">
        <f>8.998-3-2-2-1.998</f>
        <v>0</v>
      </c>
      <c r="G47" s="74">
        <f>8.1+20</f>
        <v>28.1</v>
      </c>
      <c r="H47" s="75">
        <f>6.997+10.5</f>
        <v>17.497</v>
      </c>
      <c r="I47" s="75">
        <v>6.024</v>
      </c>
      <c r="J47" s="73">
        <v>52010040006</v>
      </c>
      <c r="K47" s="30" t="s">
        <v>1233</v>
      </c>
      <c r="L47" s="30" t="s">
        <v>1234</v>
      </c>
      <c r="M47" s="22" t="s">
        <v>107</v>
      </c>
      <c r="N47" s="22" t="s">
        <v>373</v>
      </c>
      <c r="O47" s="73" t="s">
        <v>381</v>
      </c>
      <c r="P47" s="22" t="s">
        <v>556</v>
      </c>
      <c r="Q47" s="22" t="s">
        <v>373</v>
      </c>
      <c r="R47" s="22">
        <v>16</v>
      </c>
      <c r="S47" s="21">
        <v>45</v>
      </c>
      <c r="T47" s="22">
        <v>18</v>
      </c>
      <c r="U47" s="21">
        <v>0</v>
      </c>
      <c r="V47" s="21">
        <v>4</v>
      </c>
      <c r="W47" s="21">
        <v>0</v>
      </c>
      <c r="X47" s="21">
        <v>0</v>
      </c>
      <c r="Y47" s="94">
        <v>1</v>
      </c>
      <c r="Z47" s="116">
        <v>4</v>
      </c>
      <c r="AA47" s="87">
        <v>0</v>
      </c>
      <c r="AB47" s="29">
        <v>0</v>
      </c>
      <c r="AC47" s="29">
        <v>2168852000</v>
      </c>
      <c r="AD47" s="29">
        <v>2064399432</v>
      </c>
      <c r="AE47" s="29">
        <f t="shared" si="1"/>
        <v>4233251432</v>
      </c>
      <c r="AF47" s="30" t="s">
        <v>372</v>
      </c>
    </row>
    <row r="48" spans="1:32" ht="41.4" x14ac:dyDescent="0.3">
      <c r="A48" s="148"/>
      <c r="B48" s="159">
        <v>0</v>
      </c>
      <c r="C48" s="148"/>
      <c r="D48" s="160">
        <v>0</v>
      </c>
      <c r="E48" s="75">
        <v>0</v>
      </c>
      <c r="F48" s="75">
        <v>0</v>
      </c>
      <c r="G48" s="74">
        <f>15.11-8-3.7-3.41</f>
        <v>0</v>
      </c>
      <c r="H48" s="75">
        <f>0+6+4+3+8+2.5-13-10.5</f>
        <v>0</v>
      </c>
      <c r="I48" s="75">
        <v>3.7769999999999997</v>
      </c>
      <c r="J48" s="73">
        <v>52010040007</v>
      </c>
      <c r="K48" s="30" t="s">
        <v>1235</v>
      </c>
      <c r="L48" s="30" t="s">
        <v>1236</v>
      </c>
      <c r="M48" s="22" t="s">
        <v>107</v>
      </c>
      <c r="N48" s="22" t="s">
        <v>373</v>
      </c>
      <c r="O48" s="73" t="s">
        <v>381</v>
      </c>
      <c r="P48" s="22" t="s">
        <v>557</v>
      </c>
      <c r="Q48" s="22" t="s">
        <v>373</v>
      </c>
      <c r="R48" s="22">
        <v>16</v>
      </c>
      <c r="S48" s="21">
        <v>12</v>
      </c>
      <c r="T48" s="22">
        <v>11</v>
      </c>
      <c r="U48" s="21">
        <v>0</v>
      </c>
      <c r="V48" s="21">
        <v>1</v>
      </c>
      <c r="W48" s="21">
        <v>0</v>
      </c>
      <c r="X48" s="21">
        <v>0</v>
      </c>
      <c r="Y48" s="94">
        <v>0</v>
      </c>
      <c r="Z48" s="116">
        <v>0</v>
      </c>
      <c r="AA48" s="87">
        <v>0</v>
      </c>
      <c r="AB48" s="29">
        <v>0</v>
      </c>
      <c r="AC48" s="29">
        <v>0</v>
      </c>
      <c r="AD48" s="21">
        <v>0</v>
      </c>
      <c r="AE48" s="29">
        <f t="shared" si="1"/>
        <v>0</v>
      </c>
      <c r="AF48" s="30" t="s">
        <v>372</v>
      </c>
    </row>
    <row r="49" spans="1:32" ht="96.6" x14ac:dyDescent="0.3">
      <c r="A49" s="148"/>
      <c r="B49" s="159">
        <v>0</v>
      </c>
      <c r="C49" s="148"/>
      <c r="D49" s="160">
        <v>0</v>
      </c>
      <c r="E49" s="75">
        <v>43.088999999999999</v>
      </c>
      <c r="F49" s="75">
        <v>8.097999999999999</v>
      </c>
      <c r="G49" s="74">
        <f>8.119+3.7</f>
        <v>11.818999999999999</v>
      </c>
      <c r="H49" s="75">
        <f>7.108-2.5+3</f>
        <v>7.6079999999999997</v>
      </c>
      <c r="I49" s="75">
        <v>16.603999999999999</v>
      </c>
      <c r="J49" s="73">
        <v>52010040008</v>
      </c>
      <c r="K49" s="30" t="s">
        <v>1774</v>
      </c>
      <c r="L49" s="30" t="s">
        <v>1237</v>
      </c>
      <c r="M49" s="22" t="s">
        <v>144</v>
      </c>
      <c r="N49" s="22" t="s">
        <v>374</v>
      </c>
      <c r="O49" s="73" t="s">
        <v>507</v>
      </c>
      <c r="P49" s="22" t="s">
        <v>1775</v>
      </c>
      <c r="Q49" s="22" t="s">
        <v>373</v>
      </c>
      <c r="R49" s="22">
        <v>16</v>
      </c>
      <c r="S49" s="21">
        <v>41</v>
      </c>
      <c r="T49" s="22">
        <v>14</v>
      </c>
      <c r="U49" s="21">
        <v>100</v>
      </c>
      <c r="V49" s="21">
        <v>100</v>
      </c>
      <c r="W49" s="21">
        <v>100</v>
      </c>
      <c r="X49" s="21">
        <v>100</v>
      </c>
      <c r="Y49" s="94">
        <v>100</v>
      </c>
      <c r="Z49" s="116">
        <v>100</v>
      </c>
      <c r="AA49" s="87">
        <v>222925700</v>
      </c>
      <c r="AB49" s="29">
        <v>139469954</v>
      </c>
      <c r="AC49" s="29">
        <v>254468858</v>
      </c>
      <c r="AD49" s="29">
        <v>245227244</v>
      </c>
      <c r="AE49" s="29">
        <f t="shared" si="1"/>
        <v>862091756</v>
      </c>
      <c r="AF49" s="30" t="s">
        <v>358</v>
      </c>
    </row>
    <row r="50" spans="1:32" ht="69" x14ac:dyDescent="0.3">
      <c r="A50" s="148"/>
      <c r="B50" s="159">
        <v>0</v>
      </c>
      <c r="C50" s="148" t="s">
        <v>1238</v>
      </c>
      <c r="D50" s="160">
        <v>23.200000000000003</v>
      </c>
      <c r="E50" s="75">
        <v>4.5960000000000001</v>
      </c>
      <c r="F50" s="75">
        <v>2.6280000000000001</v>
      </c>
      <c r="G50" s="74">
        <v>2.9630000000000001</v>
      </c>
      <c r="H50" s="75">
        <f>1.933+0.6</f>
        <v>2.5329999999999999</v>
      </c>
      <c r="I50" s="75">
        <v>3.056</v>
      </c>
      <c r="J50" s="73">
        <v>52010050001</v>
      </c>
      <c r="K50" s="30" t="s">
        <v>1239</v>
      </c>
      <c r="L50" s="30" t="s">
        <v>1240</v>
      </c>
      <c r="M50" s="22" t="s">
        <v>144</v>
      </c>
      <c r="N50" s="22" t="s">
        <v>374</v>
      </c>
      <c r="O50" s="73" t="s">
        <v>558</v>
      </c>
      <c r="P50" s="22" t="s">
        <v>559</v>
      </c>
      <c r="Q50" s="22" t="s">
        <v>373</v>
      </c>
      <c r="R50" s="22">
        <v>16</v>
      </c>
      <c r="S50" s="21">
        <v>41</v>
      </c>
      <c r="T50" s="22">
        <v>14</v>
      </c>
      <c r="U50" s="21">
        <v>100</v>
      </c>
      <c r="V50" s="21">
        <v>100</v>
      </c>
      <c r="W50" s="21">
        <v>100</v>
      </c>
      <c r="X50" s="21">
        <v>100</v>
      </c>
      <c r="Y50" s="94">
        <v>100</v>
      </c>
      <c r="Z50" s="116">
        <v>100</v>
      </c>
      <c r="AA50" s="87">
        <v>80000000</v>
      </c>
      <c r="AB50" s="29">
        <v>65702358</v>
      </c>
      <c r="AC50" s="29">
        <v>68000000</v>
      </c>
      <c r="AD50" s="29">
        <v>84000000</v>
      </c>
      <c r="AE50" s="29">
        <f t="shared" si="1"/>
        <v>297702358</v>
      </c>
      <c r="AF50" s="30" t="s">
        <v>370</v>
      </c>
    </row>
    <row r="51" spans="1:32" ht="138" x14ac:dyDescent="0.3">
      <c r="A51" s="148"/>
      <c r="B51" s="159">
        <v>0</v>
      </c>
      <c r="C51" s="148"/>
      <c r="D51" s="160">
        <v>0</v>
      </c>
      <c r="E51" s="75">
        <v>4.0750000000000002</v>
      </c>
      <c r="F51" s="75">
        <v>2.0750000000000002</v>
      </c>
      <c r="G51" s="74">
        <v>2.08</v>
      </c>
      <c r="H51" s="75">
        <v>2.093</v>
      </c>
      <c r="I51" s="75">
        <v>2.5839999999999996</v>
      </c>
      <c r="J51" s="73">
        <v>52010050002</v>
      </c>
      <c r="K51" s="30" t="s">
        <v>1776</v>
      </c>
      <c r="L51" s="30" t="s">
        <v>1241</v>
      </c>
      <c r="M51" s="22" t="s">
        <v>144</v>
      </c>
      <c r="N51" s="22" t="s">
        <v>374</v>
      </c>
      <c r="O51" s="73" t="s">
        <v>560</v>
      </c>
      <c r="P51" s="22" t="s">
        <v>1777</v>
      </c>
      <c r="Q51" s="22" t="s">
        <v>373</v>
      </c>
      <c r="R51" s="22">
        <v>16</v>
      </c>
      <c r="S51" s="21">
        <v>41</v>
      </c>
      <c r="T51" s="22">
        <v>14</v>
      </c>
      <c r="U51" s="21">
        <v>0</v>
      </c>
      <c r="V51" s="21">
        <v>100</v>
      </c>
      <c r="W51" s="21">
        <v>100</v>
      </c>
      <c r="X51" s="21">
        <v>100</v>
      </c>
      <c r="Y51" s="94">
        <v>100</v>
      </c>
      <c r="Z51" s="116">
        <v>100</v>
      </c>
      <c r="AA51" s="87">
        <v>10000000</v>
      </c>
      <c r="AB51" s="29">
        <v>12120000</v>
      </c>
      <c r="AC51" s="29">
        <v>12500000</v>
      </c>
      <c r="AD51" s="29">
        <v>14947930</v>
      </c>
      <c r="AE51" s="29">
        <f t="shared" si="1"/>
        <v>49567930</v>
      </c>
      <c r="AF51" s="30" t="s">
        <v>370</v>
      </c>
    </row>
    <row r="52" spans="1:32" ht="55.2" x14ac:dyDescent="0.3">
      <c r="A52" s="148"/>
      <c r="B52" s="159">
        <v>0</v>
      </c>
      <c r="C52" s="148"/>
      <c r="D52" s="160">
        <v>0</v>
      </c>
      <c r="E52" s="75">
        <v>16.135999999999999</v>
      </c>
      <c r="F52" s="75">
        <v>15.379000000000001</v>
      </c>
      <c r="G52" s="74">
        <v>15.464</v>
      </c>
      <c r="H52" s="75">
        <f>16.105-2-2-2</f>
        <v>10.105</v>
      </c>
      <c r="I52" s="75">
        <v>16.472000000000001</v>
      </c>
      <c r="J52" s="73">
        <v>52010050003</v>
      </c>
      <c r="K52" s="30" t="s">
        <v>1242</v>
      </c>
      <c r="L52" s="30" t="s">
        <v>1243</v>
      </c>
      <c r="M52" s="22" t="s">
        <v>107</v>
      </c>
      <c r="N52" s="22" t="s">
        <v>373</v>
      </c>
      <c r="O52" s="73" t="s">
        <v>381</v>
      </c>
      <c r="P52" s="22" t="s">
        <v>561</v>
      </c>
      <c r="Q52" s="22" t="s">
        <v>373</v>
      </c>
      <c r="R52" s="22">
        <v>16</v>
      </c>
      <c r="S52" s="21">
        <v>41</v>
      </c>
      <c r="T52" s="22">
        <v>14</v>
      </c>
      <c r="U52" s="21">
        <v>100000</v>
      </c>
      <c r="V52" s="21">
        <v>330000</v>
      </c>
      <c r="W52" s="21">
        <v>130000</v>
      </c>
      <c r="X52" s="21">
        <v>150000</v>
      </c>
      <c r="Y52" s="94">
        <v>310000</v>
      </c>
      <c r="Z52" s="116">
        <v>330000</v>
      </c>
      <c r="AA52" s="87">
        <v>4445745267</v>
      </c>
      <c r="AB52" s="29">
        <v>956302869</v>
      </c>
      <c r="AC52" s="29">
        <v>800000000</v>
      </c>
      <c r="AD52" s="29">
        <v>1576475928</v>
      </c>
      <c r="AE52" s="29">
        <f t="shared" si="1"/>
        <v>7778524064</v>
      </c>
      <c r="AF52" s="30" t="s">
        <v>370</v>
      </c>
    </row>
    <row r="53" spans="1:32" ht="69" x14ac:dyDescent="0.3">
      <c r="A53" s="148"/>
      <c r="B53" s="159">
        <v>0</v>
      </c>
      <c r="C53" s="148"/>
      <c r="D53" s="160">
        <v>0</v>
      </c>
      <c r="E53" s="75">
        <v>5.6790000000000003</v>
      </c>
      <c r="F53" s="75">
        <v>2.4570000000000003</v>
      </c>
      <c r="G53" s="74">
        <v>3.3610000000000002</v>
      </c>
      <c r="H53" s="75">
        <f>3.04+1+0.512+1+1+1</f>
        <v>7.5519999999999996</v>
      </c>
      <c r="I53" s="75">
        <v>3.4580000000000002</v>
      </c>
      <c r="J53" s="73">
        <v>52010050004</v>
      </c>
      <c r="K53" s="30" t="s">
        <v>1244</v>
      </c>
      <c r="L53" s="30" t="s">
        <v>1245</v>
      </c>
      <c r="M53" s="22" t="s">
        <v>107</v>
      </c>
      <c r="N53" s="22" t="s">
        <v>373</v>
      </c>
      <c r="O53" s="73" t="s">
        <v>381</v>
      </c>
      <c r="P53" s="22" t="s">
        <v>562</v>
      </c>
      <c r="Q53" s="22" t="s">
        <v>373</v>
      </c>
      <c r="R53" s="22">
        <v>16</v>
      </c>
      <c r="S53" s="21">
        <v>41</v>
      </c>
      <c r="T53" s="22">
        <v>14</v>
      </c>
      <c r="U53" s="21">
        <v>6</v>
      </c>
      <c r="V53" s="21">
        <v>12</v>
      </c>
      <c r="W53" s="21">
        <v>6</v>
      </c>
      <c r="X53" s="21">
        <v>10</v>
      </c>
      <c r="Y53" s="94">
        <v>11</v>
      </c>
      <c r="Z53" s="116">
        <v>12</v>
      </c>
      <c r="AA53" s="87">
        <v>225290470</v>
      </c>
      <c r="AB53" s="29">
        <v>606226781</v>
      </c>
      <c r="AC53" s="29">
        <v>500000000</v>
      </c>
      <c r="AD53" s="29">
        <v>1185046207</v>
      </c>
      <c r="AE53" s="29">
        <f t="shared" si="1"/>
        <v>2516563458</v>
      </c>
      <c r="AF53" s="30" t="s">
        <v>370</v>
      </c>
    </row>
    <row r="54" spans="1:32" ht="96.6" x14ac:dyDescent="0.3">
      <c r="A54" s="148"/>
      <c r="B54" s="159">
        <v>0</v>
      </c>
      <c r="C54" s="148"/>
      <c r="D54" s="160">
        <v>0</v>
      </c>
      <c r="E54" s="75">
        <v>11.706</v>
      </c>
      <c r="F54" s="75">
        <f>13.053+3</f>
        <v>16.053000000000001</v>
      </c>
      <c r="G54" s="74">
        <f>14.307+3+2</f>
        <v>19.307000000000002</v>
      </c>
      <c r="H54" s="75">
        <f>14.646+2+1.5+2</f>
        <v>20.146000000000001</v>
      </c>
      <c r="I54" s="75">
        <v>13.379</v>
      </c>
      <c r="J54" s="73">
        <v>52010050005</v>
      </c>
      <c r="K54" s="30" t="s">
        <v>1246</v>
      </c>
      <c r="L54" s="30" t="s">
        <v>1247</v>
      </c>
      <c r="M54" s="22" t="s">
        <v>144</v>
      </c>
      <c r="N54" s="22" t="s">
        <v>374</v>
      </c>
      <c r="O54" s="73" t="s">
        <v>558</v>
      </c>
      <c r="P54" s="22" t="s">
        <v>563</v>
      </c>
      <c r="Q54" s="22" t="s">
        <v>373</v>
      </c>
      <c r="R54" s="22">
        <v>16</v>
      </c>
      <c r="S54" s="21">
        <v>41</v>
      </c>
      <c r="T54" s="22">
        <v>14</v>
      </c>
      <c r="U54" s="21">
        <v>100</v>
      </c>
      <c r="V54" s="21">
        <v>100</v>
      </c>
      <c r="W54" s="21">
        <v>100</v>
      </c>
      <c r="X54" s="21">
        <v>100</v>
      </c>
      <c r="Y54" s="94">
        <v>100</v>
      </c>
      <c r="Z54" s="116">
        <v>100</v>
      </c>
      <c r="AA54" s="87">
        <v>2912102065</v>
      </c>
      <c r="AB54" s="29">
        <v>5040022816</v>
      </c>
      <c r="AC54" s="29">
        <v>5000000000</v>
      </c>
      <c r="AD54" s="29">
        <v>6000000000</v>
      </c>
      <c r="AE54" s="29">
        <f t="shared" si="1"/>
        <v>18952124881</v>
      </c>
      <c r="AF54" s="30" t="s">
        <v>370</v>
      </c>
    </row>
    <row r="55" spans="1:32" ht="55.2" x14ac:dyDescent="0.3">
      <c r="A55" s="148"/>
      <c r="B55" s="159">
        <v>0</v>
      </c>
      <c r="C55" s="148"/>
      <c r="D55" s="160">
        <v>0</v>
      </c>
      <c r="E55" s="75">
        <v>6.46</v>
      </c>
      <c r="F55" s="75">
        <v>3.0369999999999999</v>
      </c>
      <c r="G55" s="74">
        <v>3.9180000000000001</v>
      </c>
      <c r="H55" s="75">
        <f>3.131-1</f>
        <v>2.1309999999999998</v>
      </c>
      <c r="I55" s="75">
        <v>4.2880000000000003</v>
      </c>
      <c r="J55" s="73">
        <v>52010050006</v>
      </c>
      <c r="K55" s="30" t="s">
        <v>1248</v>
      </c>
      <c r="L55" s="30" t="s">
        <v>1249</v>
      </c>
      <c r="M55" s="22" t="s">
        <v>107</v>
      </c>
      <c r="N55" s="22" t="s">
        <v>374</v>
      </c>
      <c r="O55" s="73" t="s">
        <v>558</v>
      </c>
      <c r="P55" s="22" t="s">
        <v>564</v>
      </c>
      <c r="Q55" s="22" t="s">
        <v>373</v>
      </c>
      <c r="R55" s="22">
        <v>16</v>
      </c>
      <c r="S55" s="21">
        <v>41</v>
      </c>
      <c r="T55" s="22">
        <v>14</v>
      </c>
      <c r="U55" s="21">
        <v>10</v>
      </c>
      <c r="V55" s="21">
        <v>100</v>
      </c>
      <c r="W55" s="21">
        <v>15</v>
      </c>
      <c r="X55" s="21">
        <v>25</v>
      </c>
      <c r="Y55" s="94">
        <v>75</v>
      </c>
      <c r="Z55" s="116">
        <v>100</v>
      </c>
      <c r="AA55" s="87">
        <v>464161000</v>
      </c>
      <c r="AB55" s="29">
        <v>144680496</v>
      </c>
      <c r="AC55" s="29">
        <v>200000000</v>
      </c>
      <c r="AD55" s="29">
        <v>100000000</v>
      </c>
      <c r="AE55" s="29">
        <f t="shared" si="1"/>
        <v>908841496</v>
      </c>
      <c r="AF55" s="30" t="s">
        <v>370</v>
      </c>
    </row>
    <row r="56" spans="1:32" ht="69" x14ac:dyDescent="0.3">
      <c r="A56" s="148"/>
      <c r="B56" s="159">
        <v>0</v>
      </c>
      <c r="C56" s="148"/>
      <c r="D56" s="160">
        <v>0</v>
      </c>
      <c r="E56" s="75">
        <v>0</v>
      </c>
      <c r="F56" s="75">
        <v>0</v>
      </c>
      <c r="G56" s="74">
        <v>2.2519999999999998</v>
      </c>
      <c r="H56" s="75">
        <v>2.2549999999999999</v>
      </c>
      <c r="I56" s="75">
        <v>1.127</v>
      </c>
      <c r="J56" s="73">
        <v>52010050007</v>
      </c>
      <c r="K56" s="30" t="s">
        <v>1250</v>
      </c>
      <c r="L56" s="30" t="s">
        <v>1251</v>
      </c>
      <c r="M56" s="22" t="s">
        <v>107</v>
      </c>
      <c r="N56" s="22" t="s">
        <v>374</v>
      </c>
      <c r="O56" s="73" t="s">
        <v>565</v>
      </c>
      <c r="P56" s="22" t="s">
        <v>566</v>
      </c>
      <c r="Q56" s="22" t="s">
        <v>373</v>
      </c>
      <c r="R56" s="22">
        <v>16</v>
      </c>
      <c r="S56" s="21">
        <v>41</v>
      </c>
      <c r="T56" s="22">
        <v>14</v>
      </c>
      <c r="U56" s="21">
        <v>0</v>
      </c>
      <c r="V56" s="21">
        <v>100</v>
      </c>
      <c r="W56" s="21">
        <v>0</v>
      </c>
      <c r="X56" s="21">
        <v>0</v>
      </c>
      <c r="Y56" s="94">
        <v>100</v>
      </c>
      <c r="Z56" s="116">
        <v>100</v>
      </c>
      <c r="AA56" s="87">
        <v>0</v>
      </c>
      <c r="AB56" s="29">
        <v>0</v>
      </c>
      <c r="AC56" s="29">
        <v>45000000</v>
      </c>
      <c r="AD56" s="29">
        <v>50000000</v>
      </c>
      <c r="AE56" s="29">
        <f t="shared" si="1"/>
        <v>95000000</v>
      </c>
      <c r="AF56" s="30" t="s">
        <v>370</v>
      </c>
    </row>
    <row r="57" spans="1:32" ht="69" x14ac:dyDescent="0.3">
      <c r="A57" s="148"/>
      <c r="B57" s="159">
        <v>0</v>
      </c>
      <c r="C57" s="148"/>
      <c r="D57" s="160">
        <v>0</v>
      </c>
      <c r="E57" s="75">
        <v>10.912000000000001</v>
      </c>
      <c r="F57" s="75">
        <f>13.334+2.072</f>
        <v>15.405999999999999</v>
      </c>
      <c r="G57" s="74">
        <f>12.292+2.877</f>
        <v>15.169</v>
      </c>
      <c r="H57" s="75">
        <v>11.555999999999999</v>
      </c>
      <c r="I57" s="75">
        <v>11.677</v>
      </c>
      <c r="J57" s="73">
        <v>52010050008</v>
      </c>
      <c r="K57" s="30" t="s">
        <v>1252</v>
      </c>
      <c r="L57" s="30" t="s">
        <v>1253</v>
      </c>
      <c r="M57" s="22" t="s">
        <v>107</v>
      </c>
      <c r="N57" s="22" t="s">
        <v>373</v>
      </c>
      <c r="O57" s="73" t="s">
        <v>381</v>
      </c>
      <c r="P57" s="22" t="s">
        <v>567</v>
      </c>
      <c r="Q57" s="22" t="s">
        <v>373</v>
      </c>
      <c r="R57" s="22">
        <v>16</v>
      </c>
      <c r="S57" s="21">
        <v>19</v>
      </c>
      <c r="T57" s="22">
        <v>2</v>
      </c>
      <c r="U57" s="21">
        <v>44750</v>
      </c>
      <c r="V57" s="21">
        <v>57750</v>
      </c>
      <c r="W57" s="21">
        <v>48750</v>
      </c>
      <c r="X57" s="21">
        <v>51750</v>
      </c>
      <c r="Y57" s="94">
        <v>54750</v>
      </c>
      <c r="Z57" s="116">
        <v>57750</v>
      </c>
      <c r="AA57" s="87">
        <v>2000575101</v>
      </c>
      <c r="AB57" s="29">
        <v>1927419957</v>
      </c>
      <c r="AC57" s="29">
        <v>1816249800</v>
      </c>
      <c r="AD57" s="29">
        <v>1816000000</v>
      </c>
      <c r="AE57" s="29">
        <f t="shared" si="1"/>
        <v>7560244858</v>
      </c>
      <c r="AF57" s="30" t="s">
        <v>356</v>
      </c>
    </row>
    <row r="58" spans="1:32" ht="96.6" x14ac:dyDescent="0.3">
      <c r="A58" s="148"/>
      <c r="B58" s="159">
        <v>0</v>
      </c>
      <c r="C58" s="148"/>
      <c r="D58" s="160">
        <v>0</v>
      </c>
      <c r="E58" s="75">
        <v>4.1310000000000002</v>
      </c>
      <c r="F58" s="75">
        <f>5.072-3-2.072</f>
        <v>0</v>
      </c>
      <c r="G58" s="74">
        <f>4.877-2-2.877</f>
        <v>0</v>
      </c>
      <c r="H58" s="75">
        <f>5.05-2.1-2.95</f>
        <v>0</v>
      </c>
      <c r="I58" s="75">
        <v>4.7880000000000003</v>
      </c>
      <c r="J58" s="73">
        <v>52010050009</v>
      </c>
      <c r="K58" s="30" t="s">
        <v>1254</v>
      </c>
      <c r="L58" s="30" t="s">
        <v>1255</v>
      </c>
      <c r="M58" s="22" t="s">
        <v>144</v>
      </c>
      <c r="N58" s="22" t="s">
        <v>373</v>
      </c>
      <c r="O58" s="73" t="s">
        <v>381</v>
      </c>
      <c r="P58" s="22" t="s">
        <v>568</v>
      </c>
      <c r="Q58" s="22" t="s">
        <v>373</v>
      </c>
      <c r="R58" s="22">
        <v>16</v>
      </c>
      <c r="S58" s="21">
        <v>41</v>
      </c>
      <c r="T58" s="22">
        <v>14</v>
      </c>
      <c r="U58" s="21">
        <v>3200</v>
      </c>
      <c r="V58" s="21">
        <v>3480</v>
      </c>
      <c r="W58" s="21">
        <v>2830</v>
      </c>
      <c r="X58" s="21">
        <v>0</v>
      </c>
      <c r="Y58" s="94">
        <v>0</v>
      </c>
      <c r="Z58" s="116">
        <v>0</v>
      </c>
      <c r="AA58" s="87">
        <v>17563980</v>
      </c>
      <c r="AB58" s="29">
        <v>0</v>
      </c>
      <c r="AC58" s="29">
        <v>0</v>
      </c>
      <c r="AD58" s="21">
        <v>0</v>
      </c>
      <c r="AE58" s="29">
        <f t="shared" si="1"/>
        <v>17563980</v>
      </c>
      <c r="AF58" s="30" t="s">
        <v>358</v>
      </c>
    </row>
    <row r="59" spans="1:32" ht="82.8" x14ac:dyDescent="0.3">
      <c r="A59" s="148"/>
      <c r="B59" s="159">
        <v>0</v>
      </c>
      <c r="C59" s="148"/>
      <c r="D59" s="160">
        <v>0</v>
      </c>
      <c r="E59" s="75">
        <v>0</v>
      </c>
      <c r="F59" s="75">
        <v>5.7240000000000002</v>
      </c>
      <c r="G59" s="74">
        <v>5.5</v>
      </c>
      <c r="H59" s="75">
        <f>5.903-2</f>
        <v>3.9029999999999996</v>
      </c>
      <c r="I59" s="75">
        <v>4.282</v>
      </c>
      <c r="J59" s="73">
        <v>52010050010</v>
      </c>
      <c r="K59" s="30" t="s">
        <v>1256</v>
      </c>
      <c r="L59" s="30" t="s">
        <v>1257</v>
      </c>
      <c r="M59" s="22" t="s">
        <v>107</v>
      </c>
      <c r="N59" s="22" t="s">
        <v>373</v>
      </c>
      <c r="O59" s="73" t="s">
        <v>381</v>
      </c>
      <c r="P59" s="22" t="s">
        <v>569</v>
      </c>
      <c r="Q59" s="22" t="s">
        <v>373</v>
      </c>
      <c r="R59" s="22">
        <v>16</v>
      </c>
      <c r="S59" s="21">
        <v>41</v>
      </c>
      <c r="T59" s="22">
        <v>14</v>
      </c>
      <c r="U59" s="21">
        <v>0</v>
      </c>
      <c r="V59" s="21">
        <v>1000</v>
      </c>
      <c r="W59" s="21">
        <v>0</v>
      </c>
      <c r="X59" s="21">
        <v>120</v>
      </c>
      <c r="Y59" s="94">
        <v>806</v>
      </c>
      <c r="Z59" s="116">
        <v>1000</v>
      </c>
      <c r="AA59" s="87">
        <v>0</v>
      </c>
      <c r="AB59" s="29">
        <v>310590667</v>
      </c>
      <c r="AC59" s="29">
        <v>320000000</v>
      </c>
      <c r="AD59" s="29">
        <v>300000000</v>
      </c>
      <c r="AE59" s="29">
        <f t="shared" si="1"/>
        <v>930590667</v>
      </c>
      <c r="AF59" s="30" t="s">
        <v>370</v>
      </c>
    </row>
    <row r="60" spans="1:32" ht="69" x14ac:dyDescent="0.3">
      <c r="A60" s="148"/>
      <c r="B60" s="159">
        <v>0</v>
      </c>
      <c r="C60" s="148"/>
      <c r="D60" s="160">
        <v>0</v>
      </c>
      <c r="E60" s="75">
        <v>0</v>
      </c>
      <c r="F60" s="75">
        <v>6.0679999999999996</v>
      </c>
      <c r="G60" s="74">
        <v>5.83</v>
      </c>
      <c r="H60" s="75">
        <f>6.257+1</f>
        <v>7.2569999999999997</v>
      </c>
      <c r="I60" s="75">
        <v>4.5389999999999997</v>
      </c>
      <c r="J60" s="73">
        <v>52010050011</v>
      </c>
      <c r="K60" s="30" t="s">
        <v>1258</v>
      </c>
      <c r="L60" s="30" t="s">
        <v>1259</v>
      </c>
      <c r="M60" s="22" t="s">
        <v>107</v>
      </c>
      <c r="N60" s="22" t="s">
        <v>373</v>
      </c>
      <c r="O60" s="73" t="s">
        <v>381</v>
      </c>
      <c r="P60" s="22" t="s">
        <v>570</v>
      </c>
      <c r="Q60" s="22" t="s">
        <v>373</v>
      </c>
      <c r="R60" s="22">
        <v>16</v>
      </c>
      <c r="S60" s="21">
        <v>41</v>
      </c>
      <c r="T60" s="22">
        <v>14</v>
      </c>
      <c r="U60" s="21">
        <v>0</v>
      </c>
      <c r="V60" s="21">
        <v>4860</v>
      </c>
      <c r="W60" s="21">
        <v>0</v>
      </c>
      <c r="X60" s="21">
        <v>320</v>
      </c>
      <c r="Y60" s="94">
        <v>3903</v>
      </c>
      <c r="Z60" s="116">
        <v>4860</v>
      </c>
      <c r="AA60" s="87">
        <v>0</v>
      </c>
      <c r="AB60" s="29">
        <v>206868200</v>
      </c>
      <c r="AC60" s="29">
        <v>74107000</v>
      </c>
      <c r="AD60" s="29">
        <v>1000000000</v>
      </c>
      <c r="AE60" s="29">
        <f t="shared" si="1"/>
        <v>1280975200</v>
      </c>
      <c r="AF60" s="30" t="s">
        <v>370</v>
      </c>
    </row>
    <row r="61" spans="1:32" ht="110.4" x14ac:dyDescent="0.3">
      <c r="A61" s="148"/>
      <c r="B61" s="159">
        <v>0</v>
      </c>
      <c r="C61" s="148"/>
      <c r="D61" s="160">
        <v>0</v>
      </c>
      <c r="E61" s="75">
        <v>0</v>
      </c>
      <c r="F61" s="75">
        <v>2.39</v>
      </c>
      <c r="G61" s="74">
        <v>0</v>
      </c>
      <c r="H61" s="75">
        <f>0+2.1</f>
        <v>2.1</v>
      </c>
      <c r="I61" s="75">
        <v>0.59699999999999998</v>
      </c>
      <c r="J61" s="73">
        <v>52010050012</v>
      </c>
      <c r="K61" s="30" t="s">
        <v>1260</v>
      </c>
      <c r="L61" s="30" t="s">
        <v>1261</v>
      </c>
      <c r="M61" s="22" t="s">
        <v>107</v>
      </c>
      <c r="N61" s="22" t="s">
        <v>373</v>
      </c>
      <c r="O61" s="73" t="s">
        <v>381</v>
      </c>
      <c r="P61" s="22" t="s">
        <v>571</v>
      </c>
      <c r="Q61" s="22" t="s">
        <v>373</v>
      </c>
      <c r="R61" s="22">
        <v>16</v>
      </c>
      <c r="S61" s="21">
        <v>41</v>
      </c>
      <c r="T61" s="22">
        <v>14</v>
      </c>
      <c r="U61" s="21">
        <v>0</v>
      </c>
      <c r="V61" s="21">
        <v>50</v>
      </c>
      <c r="W61" s="21">
        <v>0</v>
      </c>
      <c r="X61" s="21">
        <v>50</v>
      </c>
      <c r="Y61" s="94">
        <v>0</v>
      </c>
      <c r="Z61" s="116">
        <v>50</v>
      </c>
      <c r="AA61" s="87">
        <v>0</v>
      </c>
      <c r="AB61" s="29">
        <v>27060333</v>
      </c>
      <c r="AC61" s="29">
        <v>0</v>
      </c>
      <c r="AD61" s="29">
        <v>25453710</v>
      </c>
      <c r="AE61" s="29">
        <f t="shared" si="1"/>
        <v>52514043</v>
      </c>
      <c r="AF61" s="30" t="s">
        <v>370</v>
      </c>
    </row>
    <row r="62" spans="1:32" ht="55.2" x14ac:dyDescent="0.3">
      <c r="A62" s="148"/>
      <c r="B62" s="159">
        <v>0</v>
      </c>
      <c r="C62" s="148"/>
      <c r="D62" s="160">
        <v>0</v>
      </c>
      <c r="E62" s="75">
        <v>4.9820000000000002</v>
      </c>
      <c r="F62" s="75">
        <v>4.1950000000000003</v>
      </c>
      <c r="G62" s="74">
        <v>2.4670000000000001</v>
      </c>
      <c r="H62" s="75">
        <f>2.623+1+2-1-1</f>
        <v>3.6230000000000002</v>
      </c>
      <c r="I62" s="75">
        <v>4.1970000000000001</v>
      </c>
      <c r="J62" s="73">
        <v>52010050013</v>
      </c>
      <c r="K62" s="30" t="s">
        <v>1262</v>
      </c>
      <c r="L62" s="30" t="s">
        <v>1263</v>
      </c>
      <c r="M62" s="22" t="s">
        <v>107</v>
      </c>
      <c r="N62" s="22" t="s">
        <v>373</v>
      </c>
      <c r="O62" s="73" t="s">
        <v>381</v>
      </c>
      <c r="P62" s="22" t="s">
        <v>572</v>
      </c>
      <c r="Q62" s="22" t="s">
        <v>373</v>
      </c>
      <c r="R62" s="22">
        <v>16</v>
      </c>
      <c r="S62" s="21">
        <v>45</v>
      </c>
      <c r="T62" s="22">
        <v>18</v>
      </c>
      <c r="U62" s="21">
        <v>318</v>
      </c>
      <c r="V62" s="21">
        <v>818</v>
      </c>
      <c r="W62" s="21">
        <v>443</v>
      </c>
      <c r="X62" s="21">
        <v>568</v>
      </c>
      <c r="Y62" s="94">
        <v>765</v>
      </c>
      <c r="Z62" s="116">
        <v>818</v>
      </c>
      <c r="AA62" s="87">
        <v>400000000</v>
      </c>
      <c r="AB62" s="29">
        <v>509632156</v>
      </c>
      <c r="AC62" s="29">
        <v>477562250</v>
      </c>
      <c r="AD62" s="29">
        <v>440386816</v>
      </c>
      <c r="AE62" s="29">
        <f t="shared" si="1"/>
        <v>1827581222</v>
      </c>
      <c r="AF62" s="30" t="s">
        <v>372</v>
      </c>
    </row>
    <row r="63" spans="1:32" ht="69" x14ac:dyDescent="0.3">
      <c r="A63" s="148"/>
      <c r="B63" s="159">
        <v>0</v>
      </c>
      <c r="C63" s="148"/>
      <c r="D63" s="160">
        <v>0</v>
      </c>
      <c r="E63" s="75">
        <v>4.484</v>
      </c>
      <c r="F63" s="75">
        <v>2.6360000000000001</v>
      </c>
      <c r="G63" s="74">
        <v>2.4940000000000002</v>
      </c>
      <c r="H63" s="75">
        <f>2.512-1-1-0.512+2.95</f>
        <v>2.95</v>
      </c>
      <c r="I63" s="75">
        <v>3.3459999999999996</v>
      </c>
      <c r="J63" s="73">
        <v>52010050014</v>
      </c>
      <c r="K63" s="30" t="s">
        <v>1264</v>
      </c>
      <c r="L63" s="30" t="s">
        <v>1265</v>
      </c>
      <c r="M63" s="22" t="s">
        <v>107</v>
      </c>
      <c r="N63" s="22" t="s">
        <v>373</v>
      </c>
      <c r="O63" s="73" t="s">
        <v>381</v>
      </c>
      <c r="P63" s="22" t="s">
        <v>573</v>
      </c>
      <c r="Q63" s="22" t="s">
        <v>373</v>
      </c>
      <c r="R63" s="22">
        <v>16</v>
      </c>
      <c r="S63" s="21">
        <v>33</v>
      </c>
      <c r="T63" s="22">
        <v>5</v>
      </c>
      <c r="U63" s="21">
        <v>2085</v>
      </c>
      <c r="V63" s="21">
        <v>3090</v>
      </c>
      <c r="W63" s="21">
        <v>2285</v>
      </c>
      <c r="X63" s="21">
        <v>2357</v>
      </c>
      <c r="Y63" s="94">
        <v>3090</v>
      </c>
      <c r="Z63" s="116">
        <v>3090</v>
      </c>
      <c r="AA63" s="87">
        <v>199096000</v>
      </c>
      <c r="AB63" s="29">
        <v>228106000</v>
      </c>
      <c r="AC63" s="29">
        <v>228106000</v>
      </c>
      <c r="AD63" s="29">
        <v>222216565</v>
      </c>
      <c r="AE63" s="29">
        <f t="shared" si="1"/>
        <v>877524565</v>
      </c>
      <c r="AF63" s="30" t="s">
        <v>355</v>
      </c>
    </row>
    <row r="64" spans="1:32" ht="82.8" x14ac:dyDescent="0.3">
      <c r="A64" s="148"/>
      <c r="B64" s="159">
        <v>0</v>
      </c>
      <c r="C64" s="148"/>
      <c r="D64" s="160">
        <v>0</v>
      </c>
      <c r="E64" s="75">
        <v>0</v>
      </c>
      <c r="F64" s="75">
        <v>2.2130000000000001</v>
      </c>
      <c r="G64" s="74">
        <v>2.165</v>
      </c>
      <c r="H64" s="75">
        <f>3.251-0.6</f>
        <v>2.6509999999999998</v>
      </c>
      <c r="I64" s="75">
        <v>1.907</v>
      </c>
      <c r="J64" s="73">
        <v>52010050015</v>
      </c>
      <c r="K64" s="30" t="s">
        <v>1266</v>
      </c>
      <c r="L64" s="30" t="s">
        <v>1267</v>
      </c>
      <c r="M64" s="22" t="s">
        <v>107</v>
      </c>
      <c r="N64" s="22" t="s">
        <v>373</v>
      </c>
      <c r="O64" s="73" t="s">
        <v>381</v>
      </c>
      <c r="P64" s="22" t="s">
        <v>574</v>
      </c>
      <c r="Q64" s="22" t="s">
        <v>373</v>
      </c>
      <c r="R64" s="22">
        <v>16</v>
      </c>
      <c r="S64" s="21">
        <v>41</v>
      </c>
      <c r="T64" s="22">
        <v>14</v>
      </c>
      <c r="U64" s="21">
        <v>0</v>
      </c>
      <c r="V64" s="21">
        <v>10000</v>
      </c>
      <c r="W64" s="21">
        <v>0</v>
      </c>
      <c r="X64" s="21">
        <v>1500</v>
      </c>
      <c r="Y64" s="94">
        <v>7750</v>
      </c>
      <c r="Z64" s="116">
        <v>10000</v>
      </c>
      <c r="AA64" s="87">
        <v>0</v>
      </c>
      <c r="AB64" s="29">
        <v>73968267</v>
      </c>
      <c r="AC64" s="29">
        <v>77000000</v>
      </c>
      <c r="AD64" s="29">
        <v>83189630</v>
      </c>
      <c r="AE64" s="29">
        <f t="shared" si="1"/>
        <v>234157897</v>
      </c>
      <c r="AF64" s="30" t="s">
        <v>370</v>
      </c>
    </row>
    <row r="65" spans="1:32" ht="55.2" x14ac:dyDescent="0.3">
      <c r="A65" s="148"/>
      <c r="B65" s="159">
        <v>0</v>
      </c>
      <c r="C65" s="148"/>
      <c r="D65" s="160">
        <v>0</v>
      </c>
      <c r="E65" s="75">
        <v>3.1930000000000001</v>
      </c>
      <c r="F65" s="75">
        <v>2.0469999999999997</v>
      </c>
      <c r="G65" s="74">
        <v>2.0060000000000002</v>
      </c>
      <c r="H65" s="75">
        <v>2.0789999999999997</v>
      </c>
      <c r="I65" s="75">
        <v>2.883</v>
      </c>
      <c r="J65" s="73">
        <v>52010050016</v>
      </c>
      <c r="K65" s="30" t="s">
        <v>1268</v>
      </c>
      <c r="L65" s="30" t="s">
        <v>1269</v>
      </c>
      <c r="M65" s="22" t="s">
        <v>144</v>
      </c>
      <c r="N65" s="22" t="s">
        <v>373</v>
      </c>
      <c r="O65" s="73" t="s">
        <v>381</v>
      </c>
      <c r="P65" s="22" t="s">
        <v>575</v>
      </c>
      <c r="Q65" s="22" t="s">
        <v>373</v>
      </c>
      <c r="R65" s="22">
        <v>16</v>
      </c>
      <c r="S65" s="21">
        <v>41</v>
      </c>
      <c r="T65" s="22">
        <v>14</v>
      </c>
      <c r="U65" s="21">
        <v>1</v>
      </c>
      <c r="V65" s="21">
        <v>4</v>
      </c>
      <c r="W65" s="21">
        <v>1</v>
      </c>
      <c r="X65" s="21">
        <v>2</v>
      </c>
      <c r="Y65" s="94">
        <v>3</v>
      </c>
      <c r="Z65" s="116">
        <v>4</v>
      </c>
      <c r="AA65" s="87">
        <v>160000000</v>
      </c>
      <c r="AB65" s="29">
        <v>59340704</v>
      </c>
      <c r="AC65" s="29">
        <v>100000000</v>
      </c>
      <c r="AD65" s="29">
        <v>100000000</v>
      </c>
      <c r="AE65" s="29">
        <f t="shared" si="1"/>
        <v>419340704</v>
      </c>
      <c r="AF65" s="30" t="s">
        <v>370</v>
      </c>
    </row>
    <row r="66" spans="1:32" ht="69" x14ac:dyDescent="0.3">
      <c r="A66" s="148"/>
      <c r="B66" s="159">
        <v>0</v>
      </c>
      <c r="C66" s="148"/>
      <c r="D66" s="160">
        <v>0</v>
      </c>
      <c r="E66" s="75">
        <v>3.9689999999999999</v>
      </c>
      <c r="F66" s="75">
        <v>2.4119999999999999</v>
      </c>
      <c r="G66" s="74">
        <v>2.3570000000000002</v>
      </c>
      <c r="H66" s="75">
        <v>2.456</v>
      </c>
      <c r="I66" s="75">
        <v>3.0910000000000002</v>
      </c>
      <c r="J66" s="73">
        <v>52010050017</v>
      </c>
      <c r="K66" s="30" t="s">
        <v>1270</v>
      </c>
      <c r="L66" s="30" t="s">
        <v>1271</v>
      </c>
      <c r="M66" s="22" t="s">
        <v>107</v>
      </c>
      <c r="N66" s="22" t="s">
        <v>373</v>
      </c>
      <c r="O66" s="73" t="s">
        <v>381</v>
      </c>
      <c r="P66" s="22" t="s">
        <v>576</v>
      </c>
      <c r="Q66" s="22" t="s">
        <v>373</v>
      </c>
      <c r="R66" s="22">
        <v>16</v>
      </c>
      <c r="S66" s="21">
        <v>41</v>
      </c>
      <c r="T66" s="22">
        <v>14</v>
      </c>
      <c r="U66" s="21">
        <v>1</v>
      </c>
      <c r="V66" s="21">
        <v>4</v>
      </c>
      <c r="W66" s="21">
        <v>1</v>
      </c>
      <c r="X66" s="21">
        <v>2</v>
      </c>
      <c r="Y66" s="94">
        <v>3</v>
      </c>
      <c r="Z66" s="116">
        <v>4</v>
      </c>
      <c r="AA66" s="87">
        <v>130019702</v>
      </c>
      <c r="AB66" s="29">
        <v>45507259</v>
      </c>
      <c r="AC66" s="29">
        <v>47000000</v>
      </c>
      <c r="AD66" s="29">
        <v>70553500</v>
      </c>
      <c r="AE66" s="29">
        <f t="shared" si="1"/>
        <v>293080461</v>
      </c>
      <c r="AF66" s="30" t="s">
        <v>370</v>
      </c>
    </row>
    <row r="67" spans="1:32" ht="82.8" x14ac:dyDescent="0.3">
      <c r="A67" s="148"/>
      <c r="B67" s="159">
        <v>0</v>
      </c>
      <c r="C67" s="148"/>
      <c r="D67" s="160">
        <v>0</v>
      </c>
      <c r="E67" s="75">
        <v>0</v>
      </c>
      <c r="F67" s="75">
        <v>2.5760000000000001</v>
      </c>
      <c r="G67" s="74">
        <v>2.5529999999999999</v>
      </c>
      <c r="H67" s="75">
        <v>2.5940000000000003</v>
      </c>
      <c r="I67" s="75">
        <v>1.931</v>
      </c>
      <c r="J67" s="73">
        <v>52010050018</v>
      </c>
      <c r="K67" s="30" t="s">
        <v>1272</v>
      </c>
      <c r="L67" s="30" t="s">
        <v>1273</v>
      </c>
      <c r="M67" s="22" t="s">
        <v>107</v>
      </c>
      <c r="N67" s="22" t="s">
        <v>373</v>
      </c>
      <c r="O67" s="73" t="s">
        <v>381</v>
      </c>
      <c r="P67" s="22" t="s">
        <v>1778</v>
      </c>
      <c r="Q67" s="22" t="s">
        <v>373</v>
      </c>
      <c r="R67" s="22">
        <v>16</v>
      </c>
      <c r="S67" s="21">
        <v>41</v>
      </c>
      <c r="T67" s="22">
        <v>14</v>
      </c>
      <c r="U67" s="21">
        <v>0</v>
      </c>
      <c r="V67" s="21">
        <v>12</v>
      </c>
      <c r="W67" s="21">
        <v>0</v>
      </c>
      <c r="X67" s="21">
        <v>4</v>
      </c>
      <c r="Y67" s="94">
        <v>8</v>
      </c>
      <c r="Z67" s="116">
        <v>12</v>
      </c>
      <c r="AA67" s="87">
        <v>0</v>
      </c>
      <c r="AB67" s="29">
        <v>13009250</v>
      </c>
      <c r="AC67" s="29">
        <v>15000000</v>
      </c>
      <c r="AD67" s="29">
        <v>50000000</v>
      </c>
      <c r="AE67" s="29">
        <f t="shared" si="1"/>
        <v>78009250</v>
      </c>
      <c r="AF67" s="30" t="s">
        <v>370</v>
      </c>
    </row>
    <row r="68" spans="1:32" ht="69" x14ac:dyDescent="0.3">
      <c r="A68" s="148"/>
      <c r="B68" s="159">
        <v>0</v>
      </c>
      <c r="C68" s="148"/>
      <c r="D68" s="160">
        <v>0</v>
      </c>
      <c r="E68" s="75">
        <v>10.907999999999999</v>
      </c>
      <c r="F68" s="75">
        <v>2.726</v>
      </c>
      <c r="G68" s="74">
        <v>2.6970000000000001</v>
      </c>
      <c r="H68" s="75">
        <v>2.7480000000000002</v>
      </c>
      <c r="I68" s="75">
        <v>2.0430000000000001</v>
      </c>
      <c r="J68" s="73">
        <v>52010050019</v>
      </c>
      <c r="K68" s="30" t="s">
        <v>1274</v>
      </c>
      <c r="L68" s="30" t="s">
        <v>1275</v>
      </c>
      <c r="M68" s="22" t="s">
        <v>144</v>
      </c>
      <c r="N68" s="22" t="s">
        <v>374</v>
      </c>
      <c r="O68" s="73" t="s">
        <v>558</v>
      </c>
      <c r="P68" s="22" t="s">
        <v>1779</v>
      </c>
      <c r="Q68" s="22" t="s">
        <v>373</v>
      </c>
      <c r="R68" s="22">
        <v>16</v>
      </c>
      <c r="S68" s="21">
        <v>41</v>
      </c>
      <c r="T68" s="22">
        <v>14</v>
      </c>
      <c r="U68" s="21">
        <v>0</v>
      </c>
      <c r="V68" s="21">
        <v>100</v>
      </c>
      <c r="W68" s="21">
        <v>100</v>
      </c>
      <c r="X68" s="21">
        <v>100</v>
      </c>
      <c r="Y68" s="94">
        <v>100</v>
      </c>
      <c r="Z68" s="116">
        <v>100</v>
      </c>
      <c r="AA68" s="87">
        <v>2000000000</v>
      </c>
      <c r="AB68" s="29">
        <v>200000000</v>
      </c>
      <c r="AC68" s="29">
        <v>250000000</v>
      </c>
      <c r="AD68" s="29">
        <v>200000000</v>
      </c>
      <c r="AE68" s="29">
        <f t="shared" si="1"/>
        <v>2650000000</v>
      </c>
      <c r="AF68" s="30" t="s">
        <v>370</v>
      </c>
    </row>
    <row r="69" spans="1:32" ht="69" x14ac:dyDescent="0.3">
      <c r="A69" s="148"/>
      <c r="B69" s="159">
        <v>0</v>
      </c>
      <c r="C69" s="148"/>
      <c r="D69" s="160">
        <v>0</v>
      </c>
      <c r="E69" s="75">
        <v>4.7290000000000001</v>
      </c>
      <c r="F69" s="75">
        <v>7.0910000000000002</v>
      </c>
      <c r="G69" s="74">
        <f>7.589-3</f>
        <v>4.5890000000000004</v>
      </c>
      <c r="H69" s="75">
        <f>6.904-1-1.5</f>
        <v>4.4039999999999999</v>
      </c>
      <c r="I69" s="75">
        <v>6.9040000000000008</v>
      </c>
      <c r="J69" s="73">
        <v>52010050020</v>
      </c>
      <c r="K69" s="30" t="s">
        <v>1276</v>
      </c>
      <c r="L69" s="30" t="s">
        <v>1277</v>
      </c>
      <c r="M69" s="22" t="s">
        <v>107</v>
      </c>
      <c r="N69" s="22" t="s">
        <v>373</v>
      </c>
      <c r="O69" s="73" t="s">
        <v>381</v>
      </c>
      <c r="P69" s="22" t="s">
        <v>577</v>
      </c>
      <c r="Q69" s="22" t="s">
        <v>373</v>
      </c>
      <c r="R69" s="22">
        <v>11</v>
      </c>
      <c r="S69" s="21">
        <v>40</v>
      </c>
      <c r="T69" s="22">
        <v>7</v>
      </c>
      <c r="U69" s="21">
        <v>1451</v>
      </c>
      <c r="V69" s="21">
        <v>1801</v>
      </c>
      <c r="W69" s="21">
        <v>1491</v>
      </c>
      <c r="X69" s="21">
        <v>1521</v>
      </c>
      <c r="Y69" s="94">
        <v>1581</v>
      </c>
      <c r="Z69" s="116">
        <v>1801</v>
      </c>
      <c r="AA69" s="87">
        <v>231938014</v>
      </c>
      <c r="AB69" s="29">
        <v>393399400</v>
      </c>
      <c r="AC69" s="29">
        <v>464121000</v>
      </c>
      <c r="AD69" s="29">
        <v>448111360</v>
      </c>
      <c r="AE69" s="29">
        <f t="shared" si="1"/>
        <v>1537569774</v>
      </c>
      <c r="AF69" s="30" t="s">
        <v>1140</v>
      </c>
    </row>
    <row r="70" spans="1:32" ht="55.2" x14ac:dyDescent="0.3">
      <c r="A70" s="148"/>
      <c r="B70" s="159">
        <v>0</v>
      </c>
      <c r="C70" s="148"/>
      <c r="D70" s="160">
        <v>0</v>
      </c>
      <c r="E70" s="75">
        <v>4.04</v>
      </c>
      <c r="F70" s="75">
        <v>2.887</v>
      </c>
      <c r="G70" s="74">
        <v>2.8279999999999998</v>
      </c>
      <c r="H70" s="75">
        <f>2.864+2</f>
        <v>4.8639999999999999</v>
      </c>
      <c r="I70" s="75">
        <v>3.4510000000000001</v>
      </c>
      <c r="J70" s="73">
        <v>52010050021</v>
      </c>
      <c r="K70" s="30" t="s">
        <v>1278</v>
      </c>
      <c r="L70" s="30" t="s">
        <v>1279</v>
      </c>
      <c r="M70" s="22" t="s">
        <v>107</v>
      </c>
      <c r="N70" s="22" t="s">
        <v>373</v>
      </c>
      <c r="O70" s="73" t="s">
        <v>488</v>
      </c>
      <c r="P70" s="22" t="s">
        <v>578</v>
      </c>
      <c r="Q70" s="22" t="s">
        <v>373</v>
      </c>
      <c r="R70" s="22">
        <v>3</v>
      </c>
      <c r="S70" s="21">
        <v>43</v>
      </c>
      <c r="T70" s="22">
        <v>4</v>
      </c>
      <c r="U70" s="21">
        <v>4</v>
      </c>
      <c r="V70" s="21">
        <v>8</v>
      </c>
      <c r="W70" s="21">
        <v>5</v>
      </c>
      <c r="X70" s="21">
        <v>6</v>
      </c>
      <c r="Y70" s="94">
        <v>7</v>
      </c>
      <c r="Z70" s="116">
        <v>8</v>
      </c>
      <c r="AA70" s="87">
        <v>139566050</v>
      </c>
      <c r="AB70" s="29">
        <v>250000000</v>
      </c>
      <c r="AC70" s="29">
        <v>391282400</v>
      </c>
      <c r="AD70" s="29">
        <v>455298000</v>
      </c>
      <c r="AE70" s="29">
        <f t="shared" si="1"/>
        <v>1236146450</v>
      </c>
      <c r="AF70" s="30" t="s">
        <v>369</v>
      </c>
    </row>
    <row r="71" spans="1:32" x14ac:dyDescent="0.3">
      <c r="A71" s="24"/>
      <c r="B71" s="38"/>
      <c r="C71" s="24"/>
      <c r="D71" s="39"/>
      <c r="E71" s="35"/>
      <c r="F71" s="35"/>
      <c r="G71" s="35"/>
      <c r="H71" s="35"/>
      <c r="I71" s="35"/>
      <c r="J71" s="24"/>
      <c r="K71" s="40"/>
      <c r="L71" s="40"/>
      <c r="M71" s="41"/>
      <c r="N71" s="41"/>
      <c r="O71" s="24"/>
      <c r="P71" s="41"/>
      <c r="Q71" s="41"/>
      <c r="R71" s="41"/>
      <c r="S71" s="52"/>
      <c r="T71" s="41"/>
      <c r="U71" s="52"/>
      <c r="V71" s="52"/>
      <c r="W71" s="52"/>
      <c r="X71" s="52"/>
      <c r="Y71" s="52"/>
      <c r="Z71" s="55"/>
      <c r="AA71" s="53"/>
      <c r="AB71" s="53"/>
      <c r="AC71" s="53"/>
      <c r="AD71" s="53"/>
      <c r="AE71" s="53"/>
      <c r="AF71" s="40"/>
    </row>
    <row r="72" spans="1:32" ht="38.25" customHeight="1" x14ac:dyDescent="0.3">
      <c r="A72" s="148" t="s">
        <v>1280</v>
      </c>
      <c r="B72" s="159">
        <v>19.376999999999999</v>
      </c>
      <c r="C72" s="148" t="s">
        <v>1281</v>
      </c>
      <c r="D72" s="160">
        <v>20.574999999999999</v>
      </c>
      <c r="E72" s="75">
        <v>0</v>
      </c>
      <c r="F72" s="75">
        <v>3.9219999999999997</v>
      </c>
      <c r="G72" s="74">
        <f>6.538+1</f>
        <v>7.5380000000000003</v>
      </c>
      <c r="H72" s="75">
        <f>6.317-6.317</f>
        <v>0</v>
      </c>
      <c r="I72" s="75">
        <v>4.194</v>
      </c>
      <c r="J72" s="73">
        <v>52020010001</v>
      </c>
      <c r="K72" s="30" t="s">
        <v>1282</v>
      </c>
      <c r="L72" s="30" t="s">
        <v>1283</v>
      </c>
      <c r="M72" s="22" t="s">
        <v>144</v>
      </c>
      <c r="N72" s="22" t="s">
        <v>373</v>
      </c>
      <c r="O72" s="73" t="s">
        <v>381</v>
      </c>
      <c r="P72" s="22" t="s">
        <v>1780</v>
      </c>
      <c r="Q72" s="22" t="s">
        <v>373</v>
      </c>
      <c r="R72" s="22">
        <v>4</v>
      </c>
      <c r="S72" s="21">
        <v>41</v>
      </c>
      <c r="T72" s="22">
        <v>14</v>
      </c>
      <c r="U72" s="21">
        <v>0</v>
      </c>
      <c r="V72" s="21">
        <v>1</v>
      </c>
      <c r="W72" s="21">
        <v>0</v>
      </c>
      <c r="X72" s="21">
        <v>1</v>
      </c>
      <c r="Y72" s="94">
        <v>1</v>
      </c>
      <c r="Z72" s="116">
        <v>0</v>
      </c>
      <c r="AA72" s="87">
        <v>0</v>
      </c>
      <c r="AB72" s="29">
        <v>400000000</v>
      </c>
      <c r="AC72" s="29">
        <v>400000000</v>
      </c>
      <c r="AD72" s="53">
        <v>0</v>
      </c>
      <c r="AE72" s="29">
        <f t="shared" si="1"/>
        <v>800000000</v>
      </c>
      <c r="AF72" s="30" t="s">
        <v>370</v>
      </c>
    </row>
    <row r="73" spans="1:32" ht="82.8" x14ac:dyDescent="0.3">
      <c r="A73" s="148"/>
      <c r="B73" s="159">
        <v>0</v>
      </c>
      <c r="C73" s="148"/>
      <c r="D73" s="160">
        <v>0</v>
      </c>
      <c r="E73" s="75">
        <v>13.247999999999999</v>
      </c>
      <c r="F73" s="75">
        <v>7.2709999999999999</v>
      </c>
      <c r="G73" s="74">
        <f>8.225+4</f>
        <v>12.225</v>
      </c>
      <c r="H73" s="75">
        <f>5.115-5.115</f>
        <v>0</v>
      </c>
      <c r="I73" s="75">
        <v>8.4640000000000004</v>
      </c>
      <c r="J73" s="73">
        <v>52020010002</v>
      </c>
      <c r="K73" s="30" t="s">
        <v>1284</v>
      </c>
      <c r="L73" s="30" t="s">
        <v>1285</v>
      </c>
      <c r="M73" s="22" t="s">
        <v>144</v>
      </c>
      <c r="N73" s="22" t="s">
        <v>373</v>
      </c>
      <c r="O73" s="73" t="s">
        <v>381</v>
      </c>
      <c r="P73" s="22" t="s">
        <v>1781</v>
      </c>
      <c r="Q73" s="22" t="s">
        <v>373</v>
      </c>
      <c r="R73" s="22">
        <v>4</v>
      </c>
      <c r="S73" s="21">
        <v>41</v>
      </c>
      <c r="T73" s="22">
        <v>14</v>
      </c>
      <c r="U73" s="21">
        <v>18</v>
      </c>
      <c r="V73" s="21">
        <v>18</v>
      </c>
      <c r="W73" s="21">
        <v>18</v>
      </c>
      <c r="X73" s="21">
        <v>18</v>
      </c>
      <c r="Y73" s="94">
        <v>18</v>
      </c>
      <c r="Z73" s="116">
        <v>0</v>
      </c>
      <c r="AA73" s="87">
        <v>6000000000</v>
      </c>
      <c r="AB73" s="29">
        <v>400000000</v>
      </c>
      <c r="AC73" s="29">
        <v>3000000000</v>
      </c>
      <c r="AD73" s="53">
        <v>0</v>
      </c>
      <c r="AE73" s="29">
        <f t="shared" si="1"/>
        <v>9400000000</v>
      </c>
      <c r="AF73" s="30" t="s">
        <v>370</v>
      </c>
    </row>
    <row r="74" spans="1:32" ht="124.2" x14ac:dyDescent="0.3">
      <c r="A74" s="148"/>
      <c r="B74" s="159">
        <v>0</v>
      </c>
      <c r="C74" s="148"/>
      <c r="D74" s="160">
        <v>0</v>
      </c>
      <c r="E74" s="75">
        <v>26.311</v>
      </c>
      <c r="F74" s="75">
        <v>33.062000000000005</v>
      </c>
      <c r="G74" s="74">
        <v>30.253999999999998</v>
      </c>
      <c r="H74" s="75">
        <f>38.51+6.317+5.115</f>
        <v>49.942</v>
      </c>
      <c r="I74" s="75">
        <v>32.033999999999999</v>
      </c>
      <c r="J74" s="73">
        <v>52020010003</v>
      </c>
      <c r="K74" s="30" t="s">
        <v>1286</v>
      </c>
      <c r="L74" s="30" t="s">
        <v>1287</v>
      </c>
      <c r="M74" s="22" t="s">
        <v>107</v>
      </c>
      <c r="N74" s="22" t="s">
        <v>373</v>
      </c>
      <c r="O74" s="73" t="s">
        <v>381</v>
      </c>
      <c r="P74" s="22" t="s">
        <v>1782</v>
      </c>
      <c r="Q74" s="22" t="s">
        <v>373</v>
      </c>
      <c r="R74" s="22">
        <v>4</v>
      </c>
      <c r="S74" s="21">
        <v>41</v>
      </c>
      <c r="T74" s="22">
        <v>14</v>
      </c>
      <c r="U74" s="21">
        <v>7519</v>
      </c>
      <c r="V74" s="21">
        <v>10161</v>
      </c>
      <c r="W74" s="21">
        <v>8170</v>
      </c>
      <c r="X74" s="21">
        <v>10161</v>
      </c>
      <c r="Y74" s="94">
        <v>10161</v>
      </c>
      <c r="Z74" s="116">
        <v>10161</v>
      </c>
      <c r="AA74" s="87">
        <v>46239482853</v>
      </c>
      <c r="AB74" s="29">
        <v>23530025932</v>
      </c>
      <c r="AC74" s="29">
        <v>40511048046</v>
      </c>
      <c r="AD74" s="53">
        <v>36471466275</v>
      </c>
      <c r="AE74" s="29">
        <f t="shared" si="1"/>
        <v>146752023106</v>
      </c>
      <c r="AF74" s="30" t="s">
        <v>370</v>
      </c>
    </row>
    <row r="75" spans="1:32" ht="96.6" x14ac:dyDescent="0.3">
      <c r="A75" s="148"/>
      <c r="B75" s="159">
        <v>0</v>
      </c>
      <c r="C75" s="148"/>
      <c r="D75" s="160">
        <v>0</v>
      </c>
      <c r="E75" s="75">
        <v>8.9249999999999989</v>
      </c>
      <c r="F75" s="75">
        <f>3.83+2.162</f>
        <v>5.992</v>
      </c>
      <c r="G75" s="74">
        <f>6.705+1</f>
        <v>7.7050000000000001</v>
      </c>
      <c r="H75" s="75">
        <f>5.722-5.722</f>
        <v>0</v>
      </c>
      <c r="I75" s="75">
        <v>6.2960000000000003</v>
      </c>
      <c r="J75" s="73">
        <v>52020010004</v>
      </c>
      <c r="K75" s="30" t="s">
        <v>1288</v>
      </c>
      <c r="L75" s="30" t="s">
        <v>1289</v>
      </c>
      <c r="M75" s="22" t="s">
        <v>107</v>
      </c>
      <c r="N75" s="22" t="s">
        <v>373</v>
      </c>
      <c r="O75" s="73" t="s">
        <v>381</v>
      </c>
      <c r="P75" s="22" t="s">
        <v>1783</v>
      </c>
      <c r="Q75" s="22" t="s">
        <v>373</v>
      </c>
      <c r="R75" s="22">
        <v>10</v>
      </c>
      <c r="S75" s="21">
        <v>41</v>
      </c>
      <c r="T75" s="22">
        <v>14</v>
      </c>
      <c r="U75" s="21">
        <v>6</v>
      </c>
      <c r="V75" s="21">
        <v>10</v>
      </c>
      <c r="W75" s="21">
        <v>6</v>
      </c>
      <c r="X75" s="21">
        <v>8</v>
      </c>
      <c r="Y75" s="94">
        <v>9</v>
      </c>
      <c r="Z75" s="116">
        <v>0</v>
      </c>
      <c r="AA75" s="87">
        <v>600000000</v>
      </c>
      <c r="AB75" s="29">
        <v>100000000</v>
      </c>
      <c r="AC75" s="29">
        <v>300000000</v>
      </c>
      <c r="AD75" s="53">
        <v>0</v>
      </c>
      <c r="AE75" s="29">
        <f t="shared" si="1"/>
        <v>1000000000</v>
      </c>
      <c r="AF75" s="30" t="s">
        <v>370</v>
      </c>
    </row>
    <row r="76" spans="1:32" ht="82.8" x14ac:dyDescent="0.3">
      <c r="A76" s="148"/>
      <c r="B76" s="159">
        <v>0</v>
      </c>
      <c r="C76" s="148"/>
      <c r="D76" s="160">
        <v>0</v>
      </c>
      <c r="E76" s="75">
        <v>8.4619999999999997</v>
      </c>
      <c r="F76" s="75">
        <f>4.318+3</f>
        <v>7.3179999999999996</v>
      </c>
      <c r="G76" s="74">
        <f>5.075+1.321</f>
        <v>6.3959999999999999</v>
      </c>
      <c r="H76" s="75">
        <f>5.284-5.284</f>
        <v>0</v>
      </c>
      <c r="I76" s="75">
        <v>5.7850000000000001</v>
      </c>
      <c r="J76" s="73">
        <v>52020010005</v>
      </c>
      <c r="K76" s="30" t="s">
        <v>1290</v>
      </c>
      <c r="L76" s="30" t="s">
        <v>1291</v>
      </c>
      <c r="M76" s="22" t="s">
        <v>107</v>
      </c>
      <c r="N76" s="22" t="s">
        <v>374</v>
      </c>
      <c r="O76" s="73" t="s">
        <v>381</v>
      </c>
      <c r="P76" s="22" t="s">
        <v>1784</v>
      </c>
      <c r="Q76" s="22" t="s">
        <v>373</v>
      </c>
      <c r="R76" s="22">
        <v>4</v>
      </c>
      <c r="S76" s="21">
        <v>41</v>
      </c>
      <c r="T76" s="22">
        <v>14</v>
      </c>
      <c r="U76" s="21">
        <v>50</v>
      </c>
      <c r="V76" s="21">
        <v>70</v>
      </c>
      <c r="W76" s="21">
        <v>55</v>
      </c>
      <c r="X76" s="21">
        <v>60</v>
      </c>
      <c r="Y76" s="94">
        <v>65</v>
      </c>
      <c r="Z76" s="116">
        <v>0</v>
      </c>
      <c r="AA76" s="87">
        <v>300000000</v>
      </c>
      <c r="AB76" s="29">
        <v>173000000</v>
      </c>
      <c r="AC76" s="29">
        <v>200000000</v>
      </c>
      <c r="AD76" s="29">
        <v>0</v>
      </c>
      <c r="AE76" s="29">
        <f t="shared" si="1"/>
        <v>673000000</v>
      </c>
      <c r="AF76" s="30" t="s">
        <v>370</v>
      </c>
    </row>
    <row r="77" spans="1:32" ht="289.8" x14ac:dyDescent="0.3">
      <c r="A77" s="148"/>
      <c r="B77" s="159">
        <v>0</v>
      </c>
      <c r="C77" s="148"/>
      <c r="D77" s="160">
        <v>0</v>
      </c>
      <c r="E77" s="75">
        <v>8.8979999999999997</v>
      </c>
      <c r="F77" s="75">
        <v>7.8299999999999992</v>
      </c>
      <c r="G77" s="74">
        <f>6.695+1</f>
        <v>7.6950000000000003</v>
      </c>
      <c r="H77" s="75">
        <f>5.703+7.228</f>
        <v>12.931000000000001</v>
      </c>
      <c r="I77" s="75">
        <v>7.282</v>
      </c>
      <c r="J77" s="73">
        <v>52020010006</v>
      </c>
      <c r="K77" s="30" t="s">
        <v>1292</v>
      </c>
      <c r="L77" s="30" t="s">
        <v>1293</v>
      </c>
      <c r="M77" s="22" t="s">
        <v>107</v>
      </c>
      <c r="N77" s="22" t="s">
        <v>373</v>
      </c>
      <c r="O77" s="73" t="s">
        <v>579</v>
      </c>
      <c r="P77" s="22" t="s">
        <v>580</v>
      </c>
      <c r="Q77" s="22" t="s">
        <v>373</v>
      </c>
      <c r="R77" s="22">
        <v>3</v>
      </c>
      <c r="S77" s="21">
        <v>19</v>
      </c>
      <c r="T77" s="22">
        <v>2</v>
      </c>
      <c r="U77" s="21">
        <v>20</v>
      </c>
      <c r="V77" s="21">
        <v>56</v>
      </c>
      <c r="W77" s="21">
        <v>20</v>
      </c>
      <c r="X77" s="21">
        <v>33</v>
      </c>
      <c r="Y77" s="94">
        <v>45</v>
      </c>
      <c r="Z77" s="116">
        <v>56</v>
      </c>
      <c r="AA77" s="87">
        <v>582777530</v>
      </c>
      <c r="AB77" s="29">
        <v>601430399</v>
      </c>
      <c r="AC77" s="29">
        <v>550000000</v>
      </c>
      <c r="AD77" s="29">
        <v>555000000</v>
      </c>
      <c r="AE77" s="29">
        <f t="shared" si="1"/>
        <v>2289207929</v>
      </c>
      <c r="AF77" s="30" t="s">
        <v>356</v>
      </c>
    </row>
    <row r="78" spans="1:32" ht="55.2" x14ac:dyDescent="0.3">
      <c r="A78" s="148"/>
      <c r="B78" s="159">
        <v>0</v>
      </c>
      <c r="C78" s="148"/>
      <c r="D78" s="160">
        <v>0</v>
      </c>
      <c r="E78" s="75">
        <v>8.4480000000000004</v>
      </c>
      <c r="F78" s="75">
        <v>7.9350000000000005</v>
      </c>
      <c r="G78" s="74">
        <f>6.786+1</f>
        <v>7.7859999999999996</v>
      </c>
      <c r="H78" s="75">
        <f>5.796+9.701</f>
        <v>15.497</v>
      </c>
      <c r="I78" s="75">
        <v>7.2410000000000005</v>
      </c>
      <c r="J78" s="73">
        <v>52020010007</v>
      </c>
      <c r="K78" s="30" t="s">
        <v>1294</v>
      </c>
      <c r="L78" s="30" t="s">
        <v>1295</v>
      </c>
      <c r="M78" s="22" t="s">
        <v>144</v>
      </c>
      <c r="N78" s="22" t="s">
        <v>373</v>
      </c>
      <c r="O78" s="73" t="s">
        <v>381</v>
      </c>
      <c r="P78" s="22" t="s">
        <v>581</v>
      </c>
      <c r="Q78" s="22" t="s">
        <v>373</v>
      </c>
      <c r="R78" s="22">
        <v>3</v>
      </c>
      <c r="S78" s="21">
        <v>43</v>
      </c>
      <c r="T78" s="22">
        <v>4</v>
      </c>
      <c r="U78" s="21">
        <v>2800</v>
      </c>
      <c r="V78" s="21">
        <v>4000</v>
      </c>
      <c r="W78" s="21">
        <v>600</v>
      </c>
      <c r="X78" s="21">
        <v>4000</v>
      </c>
      <c r="Y78" s="94">
        <v>4000</v>
      </c>
      <c r="Z78" s="116">
        <v>4000</v>
      </c>
      <c r="AA78" s="87">
        <v>290724996</v>
      </c>
      <c r="AB78" s="29">
        <v>394281919</v>
      </c>
      <c r="AC78" s="29">
        <v>691004000</v>
      </c>
      <c r="AD78" s="21">
        <v>791278000</v>
      </c>
      <c r="AE78" s="29">
        <f t="shared" si="1"/>
        <v>2167288915</v>
      </c>
      <c r="AF78" s="30" t="s">
        <v>369</v>
      </c>
    </row>
    <row r="79" spans="1:32" ht="69" x14ac:dyDescent="0.3">
      <c r="A79" s="148"/>
      <c r="B79" s="159">
        <v>0</v>
      </c>
      <c r="C79" s="148"/>
      <c r="D79" s="160">
        <v>0</v>
      </c>
      <c r="E79" s="75">
        <v>0</v>
      </c>
      <c r="F79" s="75">
        <v>7.4880000000000004</v>
      </c>
      <c r="G79" s="74">
        <v>6.3979999999999997</v>
      </c>
      <c r="H79" s="75">
        <f>5.391+5.722</f>
        <v>11.113</v>
      </c>
      <c r="I79" s="75">
        <v>4.819</v>
      </c>
      <c r="J79" s="73">
        <v>52020010008</v>
      </c>
      <c r="K79" s="30" t="s">
        <v>1296</v>
      </c>
      <c r="L79" s="30" t="s">
        <v>1297</v>
      </c>
      <c r="M79" s="22" t="s">
        <v>107</v>
      </c>
      <c r="N79" s="22" t="s">
        <v>373</v>
      </c>
      <c r="O79" s="73" t="s">
        <v>381</v>
      </c>
      <c r="P79" s="22" t="s">
        <v>582</v>
      </c>
      <c r="Q79" s="22" t="s">
        <v>373</v>
      </c>
      <c r="R79" s="22">
        <v>4</v>
      </c>
      <c r="S79" s="21">
        <v>33</v>
      </c>
      <c r="T79" s="22">
        <v>5</v>
      </c>
      <c r="U79" s="21">
        <v>0</v>
      </c>
      <c r="V79" s="21">
        <v>6000</v>
      </c>
      <c r="W79" s="21">
        <v>0</v>
      </c>
      <c r="X79" s="21">
        <v>468</v>
      </c>
      <c r="Y79" s="94">
        <v>1838</v>
      </c>
      <c r="Z79" s="116">
        <v>6000</v>
      </c>
      <c r="AA79" s="87">
        <v>0</v>
      </c>
      <c r="AB79" s="29">
        <v>150000000</v>
      </c>
      <c r="AC79" s="29">
        <v>137703297</v>
      </c>
      <c r="AD79" s="29">
        <v>137703297</v>
      </c>
      <c r="AE79" s="29">
        <f t="shared" si="1"/>
        <v>425406594</v>
      </c>
      <c r="AF79" s="30" t="s">
        <v>355</v>
      </c>
    </row>
    <row r="80" spans="1:32" ht="69" x14ac:dyDescent="0.3">
      <c r="A80" s="148"/>
      <c r="B80" s="159">
        <v>0</v>
      </c>
      <c r="C80" s="148"/>
      <c r="D80" s="160">
        <v>0</v>
      </c>
      <c r="E80" s="75">
        <v>8.2469999999999999</v>
      </c>
      <c r="F80" s="75">
        <v>6.2640000000000002</v>
      </c>
      <c r="G80" s="74">
        <v>6.2370000000000001</v>
      </c>
      <c r="H80" s="75">
        <f>5.233+5.284</f>
        <v>10.516999999999999</v>
      </c>
      <c r="I80" s="75">
        <v>6.4949999999999992</v>
      </c>
      <c r="J80" s="73">
        <v>52020010009</v>
      </c>
      <c r="K80" s="30" t="s">
        <v>1298</v>
      </c>
      <c r="L80" s="30" t="s">
        <v>1299</v>
      </c>
      <c r="M80" s="22" t="s">
        <v>107</v>
      </c>
      <c r="N80" s="22" t="s">
        <v>373</v>
      </c>
      <c r="O80" s="73" t="s">
        <v>381</v>
      </c>
      <c r="P80" s="22" t="s">
        <v>583</v>
      </c>
      <c r="Q80" s="22" t="s">
        <v>373</v>
      </c>
      <c r="R80" s="22">
        <v>4</v>
      </c>
      <c r="S80" s="21">
        <v>33</v>
      </c>
      <c r="T80" s="22">
        <v>5</v>
      </c>
      <c r="U80" s="21">
        <v>0</v>
      </c>
      <c r="V80" s="21">
        <v>8000</v>
      </c>
      <c r="W80" s="21">
        <v>1000</v>
      </c>
      <c r="X80" s="21">
        <v>3300</v>
      </c>
      <c r="Y80" s="94">
        <v>6618</v>
      </c>
      <c r="Z80" s="116">
        <v>8000</v>
      </c>
      <c r="AA80" s="87">
        <v>160202761</v>
      </c>
      <c r="AB80" s="29">
        <v>199998042</v>
      </c>
      <c r="AC80" s="29">
        <v>199998042</v>
      </c>
      <c r="AD80" s="29">
        <v>199998042</v>
      </c>
      <c r="AE80" s="29">
        <f t="shared" ref="AE80:AE143" si="2">SUM(AA80:AD80)</f>
        <v>760196887</v>
      </c>
      <c r="AF80" s="30" t="s">
        <v>355</v>
      </c>
    </row>
    <row r="81" spans="1:32" ht="55.2" x14ac:dyDescent="0.3">
      <c r="A81" s="148"/>
      <c r="B81" s="159">
        <v>0</v>
      </c>
      <c r="C81" s="148"/>
      <c r="D81" s="160">
        <v>0</v>
      </c>
      <c r="E81" s="75">
        <v>8.3820000000000014</v>
      </c>
      <c r="F81" s="75">
        <f>9.918+3</f>
        <v>12.917999999999999</v>
      </c>
      <c r="G81" s="74">
        <f>6.766+1</f>
        <v>7.766</v>
      </c>
      <c r="H81" s="75">
        <f>9.701-9.701</f>
        <v>0</v>
      </c>
      <c r="I81" s="75">
        <v>8.6920000000000002</v>
      </c>
      <c r="J81" s="73">
        <v>52020010010</v>
      </c>
      <c r="K81" s="30" t="s">
        <v>1300</v>
      </c>
      <c r="L81" s="30" t="s">
        <v>1301</v>
      </c>
      <c r="M81" s="22" t="s">
        <v>144</v>
      </c>
      <c r="N81" s="22" t="s">
        <v>373</v>
      </c>
      <c r="O81" s="73" t="s">
        <v>381</v>
      </c>
      <c r="P81" s="22" t="s">
        <v>584</v>
      </c>
      <c r="Q81" s="22" t="s">
        <v>373</v>
      </c>
      <c r="R81" s="22">
        <v>4</v>
      </c>
      <c r="S81" s="21">
        <v>22</v>
      </c>
      <c r="T81" s="22">
        <v>1</v>
      </c>
      <c r="U81" s="21">
        <v>40</v>
      </c>
      <c r="V81" s="21">
        <v>46</v>
      </c>
      <c r="W81" s="21">
        <v>40</v>
      </c>
      <c r="X81" s="21">
        <v>42</v>
      </c>
      <c r="Y81" s="94">
        <v>44</v>
      </c>
      <c r="Z81" s="116">
        <v>0</v>
      </c>
      <c r="AA81" s="87">
        <v>248000000</v>
      </c>
      <c r="AB81" s="29">
        <v>625713200</v>
      </c>
      <c r="AC81" s="29">
        <v>421700000</v>
      </c>
      <c r="AD81" s="29">
        <v>0</v>
      </c>
      <c r="AE81" s="29">
        <f t="shared" si="2"/>
        <v>1295413200</v>
      </c>
      <c r="AF81" s="30" t="s">
        <v>358</v>
      </c>
    </row>
    <row r="82" spans="1:32" ht="55.2" x14ac:dyDescent="0.3">
      <c r="A82" s="148"/>
      <c r="B82" s="159">
        <v>0</v>
      </c>
      <c r="C82" s="148"/>
      <c r="D82" s="160">
        <v>0</v>
      </c>
      <c r="E82" s="75">
        <v>9.0789999999999988</v>
      </c>
      <c r="F82" s="75">
        <f>8.162-3-3-2.162</f>
        <v>0</v>
      </c>
      <c r="G82" s="74">
        <f>10.321-4-1-1-1-1-1-1.321</f>
        <v>0</v>
      </c>
      <c r="H82" s="75">
        <f>7.228-7.228</f>
        <v>0</v>
      </c>
      <c r="I82" s="75">
        <v>8.6980000000000004</v>
      </c>
      <c r="J82" s="73">
        <v>52020010011</v>
      </c>
      <c r="K82" s="30" t="s">
        <v>1302</v>
      </c>
      <c r="L82" s="30" t="s">
        <v>1303</v>
      </c>
      <c r="M82" s="22" t="s">
        <v>107</v>
      </c>
      <c r="N82" s="22" t="s">
        <v>373</v>
      </c>
      <c r="O82" s="73" t="s">
        <v>381</v>
      </c>
      <c r="P82" s="22" t="s">
        <v>585</v>
      </c>
      <c r="Q82" s="22" t="s">
        <v>373</v>
      </c>
      <c r="R82" s="22">
        <v>4</v>
      </c>
      <c r="S82" s="21">
        <v>22</v>
      </c>
      <c r="T82" s="22">
        <v>1</v>
      </c>
      <c r="U82" s="21">
        <v>18</v>
      </c>
      <c r="V82" s="21">
        <v>19</v>
      </c>
      <c r="W82" s="21">
        <v>18.04</v>
      </c>
      <c r="X82" s="21">
        <v>0</v>
      </c>
      <c r="Y82" s="94">
        <v>0</v>
      </c>
      <c r="Z82" s="116">
        <v>0</v>
      </c>
      <c r="AA82" s="87">
        <v>700000000</v>
      </c>
      <c r="AB82" s="29">
        <v>0</v>
      </c>
      <c r="AC82" s="29">
        <v>0</v>
      </c>
      <c r="AD82" s="29">
        <v>0</v>
      </c>
      <c r="AE82" s="29">
        <f t="shared" si="2"/>
        <v>700000000</v>
      </c>
      <c r="AF82" s="30" t="s">
        <v>358</v>
      </c>
    </row>
    <row r="83" spans="1:32" ht="51" customHeight="1" x14ac:dyDescent="0.3">
      <c r="A83" s="148"/>
      <c r="B83" s="159">
        <v>0</v>
      </c>
      <c r="C83" s="148" t="s">
        <v>1304</v>
      </c>
      <c r="D83" s="160">
        <v>10.374000000000001</v>
      </c>
      <c r="E83" s="75">
        <v>7.1069999999999993</v>
      </c>
      <c r="F83" s="75">
        <v>8.2100000000000009</v>
      </c>
      <c r="G83" s="75">
        <v>8.1219999999999999</v>
      </c>
      <c r="H83" s="75">
        <v>8.677999999999999</v>
      </c>
      <c r="I83" s="75">
        <v>8.0299999999999994</v>
      </c>
      <c r="J83" s="73">
        <v>52020020001</v>
      </c>
      <c r="K83" s="30" t="s">
        <v>1305</v>
      </c>
      <c r="L83" s="30" t="s">
        <v>1306</v>
      </c>
      <c r="M83" s="22" t="s">
        <v>144</v>
      </c>
      <c r="N83" s="22" t="s">
        <v>373</v>
      </c>
      <c r="O83" s="73" t="s">
        <v>381</v>
      </c>
      <c r="P83" s="22" t="s">
        <v>586</v>
      </c>
      <c r="Q83" s="22" t="s">
        <v>373</v>
      </c>
      <c r="R83" s="22">
        <v>3</v>
      </c>
      <c r="S83" s="21">
        <v>43</v>
      </c>
      <c r="T83" s="22">
        <v>4</v>
      </c>
      <c r="U83" s="21">
        <v>1050</v>
      </c>
      <c r="V83" s="21">
        <v>10000</v>
      </c>
      <c r="W83" s="21">
        <v>3000</v>
      </c>
      <c r="X83" s="21">
        <v>5000</v>
      </c>
      <c r="Y83" s="94">
        <v>8000</v>
      </c>
      <c r="Z83" s="116">
        <v>10000</v>
      </c>
      <c r="AA83" s="87">
        <v>678811666</v>
      </c>
      <c r="AB83" s="29">
        <v>242569152</v>
      </c>
      <c r="AC83" s="29">
        <v>755619200</v>
      </c>
      <c r="AD83" s="21">
        <v>523660000</v>
      </c>
      <c r="AE83" s="29">
        <f t="shared" si="2"/>
        <v>2200660018</v>
      </c>
      <c r="AF83" s="30" t="s">
        <v>369</v>
      </c>
    </row>
    <row r="84" spans="1:32" ht="69" x14ac:dyDescent="0.3">
      <c r="A84" s="148"/>
      <c r="B84" s="159">
        <v>0</v>
      </c>
      <c r="C84" s="148"/>
      <c r="D84" s="160">
        <v>0</v>
      </c>
      <c r="E84" s="75">
        <v>9.0350000000000001</v>
      </c>
      <c r="F84" s="75">
        <v>11.538</v>
      </c>
      <c r="G84" s="75">
        <v>7.835</v>
      </c>
      <c r="H84" s="75">
        <f>8.858-4-4.858</f>
        <v>0</v>
      </c>
      <c r="I84" s="75">
        <v>8.4019999999999992</v>
      </c>
      <c r="J84" s="73">
        <v>52020020002</v>
      </c>
      <c r="K84" s="30" t="s">
        <v>1785</v>
      </c>
      <c r="L84" s="30" t="s">
        <v>1307</v>
      </c>
      <c r="M84" s="22" t="s">
        <v>107</v>
      </c>
      <c r="N84" s="22" t="s">
        <v>373</v>
      </c>
      <c r="O84" s="73" t="s">
        <v>381</v>
      </c>
      <c r="P84" s="22" t="s">
        <v>587</v>
      </c>
      <c r="Q84" s="22" t="s">
        <v>175</v>
      </c>
      <c r="R84" s="22">
        <v>4</v>
      </c>
      <c r="S84" s="21">
        <v>22</v>
      </c>
      <c r="T84" s="22">
        <v>1</v>
      </c>
      <c r="U84" s="21">
        <v>836</v>
      </c>
      <c r="V84" s="21">
        <v>3000</v>
      </c>
      <c r="W84" s="21">
        <v>1488</v>
      </c>
      <c r="X84" s="21">
        <v>1867</v>
      </c>
      <c r="Y84" s="94">
        <v>2567</v>
      </c>
      <c r="Z84" s="116">
        <v>0</v>
      </c>
      <c r="AA84" s="87">
        <v>881896985</v>
      </c>
      <c r="AB84" s="29">
        <v>784000000</v>
      </c>
      <c r="AC84" s="29">
        <v>544681938</v>
      </c>
      <c r="AD84" s="21">
        <v>0</v>
      </c>
      <c r="AE84" s="29">
        <f t="shared" si="2"/>
        <v>2210578923</v>
      </c>
      <c r="AF84" s="30" t="s">
        <v>358</v>
      </c>
    </row>
    <row r="85" spans="1:32" ht="69" x14ac:dyDescent="0.3">
      <c r="A85" s="148"/>
      <c r="B85" s="159">
        <v>0</v>
      </c>
      <c r="C85" s="148"/>
      <c r="D85" s="160">
        <v>0</v>
      </c>
      <c r="E85" s="75">
        <v>6.5310000000000006</v>
      </c>
      <c r="F85" s="75">
        <v>0</v>
      </c>
      <c r="G85" s="75">
        <v>8.6209999999999987</v>
      </c>
      <c r="H85" s="75">
        <f>7.693-2</f>
        <v>5.6929999999999996</v>
      </c>
      <c r="I85" s="75">
        <v>7.625</v>
      </c>
      <c r="J85" s="73">
        <v>52020020003</v>
      </c>
      <c r="K85" s="30" t="s">
        <v>1308</v>
      </c>
      <c r="L85" s="30" t="s">
        <v>1309</v>
      </c>
      <c r="M85" s="22" t="s">
        <v>107</v>
      </c>
      <c r="N85" s="22" t="s">
        <v>373</v>
      </c>
      <c r="O85" s="73" t="s">
        <v>381</v>
      </c>
      <c r="P85" s="22" t="s">
        <v>588</v>
      </c>
      <c r="Q85" s="22" t="s">
        <v>373</v>
      </c>
      <c r="R85" s="22">
        <v>1</v>
      </c>
      <c r="S85" s="21">
        <v>41</v>
      </c>
      <c r="T85" s="22">
        <v>14</v>
      </c>
      <c r="U85" s="21">
        <v>8400</v>
      </c>
      <c r="V85" s="21">
        <v>11800</v>
      </c>
      <c r="W85" s="21">
        <v>8860</v>
      </c>
      <c r="X85" s="21">
        <v>0</v>
      </c>
      <c r="Y85" s="94">
        <v>10980</v>
      </c>
      <c r="Z85" s="116">
        <v>11800</v>
      </c>
      <c r="AA85" s="87">
        <v>334607504</v>
      </c>
      <c r="AB85" s="29">
        <v>0</v>
      </c>
      <c r="AC85" s="29">
        <v>700000000</v>
      </c>
      <c r="AD85" s="29">
        <v>200000000</v>
      </c>
      <c r="AE85" s="29">
        <f t="shared" si="2"/>
        <v>1234607504</v>
      </c>
      <c r="AF85" s="30" t="s">
        <v>370</v>
      </c>
    </row>
    <row r="86" spans="1:32" ht="82.8" x14ac:dyDescent="0.3">
      <c r="A86" s="148"/>
      <c r="B86" s="159">
        <v>0</v>
      </c>
      <c r="C86" s="148"/>
      <c r="D86" s="160">
        <v>0</v>
      </c>
      <c r="E86" s="75">
        <v>9.1929999999999996</v>
      </c>
      <c r="F86" s="75">
        <v>13.991999999999999</v>
      </c>
      <c r="G86" s="75">
        <v>13.548999999999999</v>
      </c>
      <c r="H86" s="75">
        <v>13.688000000000001</v>
      </c>
      <c r="I86" s="75">
        <v>12.606</v>
      </c>
      <c r="J86" s="73">
        <v>52020020004</v>
      </c>
      <c r="K86" s="30" t="s">
        <v>1310</v>
      </c>
      <c r="L86" s="30" t="s">
        <v>1311</v>
      </c>
      <c r="M86" s="22" t="s">
        <v>144</v>
      </c>
      <c r="N86" s="22" t="s">
        <v>373</v>
      </c>
      <c r="O86" s="73" t="s">
        <v>381</v>
      </c>
      <c r="P86" s="22" t="s">
        <v>589</v>
      </c>
      <c r="Q86" s="22" t="s">
        <v>373</v>
      </c>
      <c r="R86" s="22">
        <v>1</v>
      </c>
      <c r="S86" s="21">
        <v>41</v>
      </c>
      <c r="T86" s="22">
        <v>14</v>
      </c>
      <c r="U86" s="21">
        <v>8</v>
      </c>
      <c r="V86" s="21">
        <v>8</v>
      </c>
      <c r="W86" s="21">
        <v>8</v>
      </c>
      <c r="X86" s="21">
        <v>8</v>
      </c>
      <c r="Y86" s="94">
        <v>8</v>
      </c>
      <c r="Z86" s="116">
        <v>8</v>
      </c>
      <c r="AA86" s="87">
        <v>2664948697</v>
      </c>
      <c r="AB86" s="29">
        <v>1961335400</v>
      </c>
      <c r="AC86" s="29">
        <v>5009363000</v>
      </c>
      <c r="AD86" s="21">
        <v>1391236940</v>
      </c>
      <c r="AE86" s="29">
        <f t="shared" si="2"/>
        <v>11026884037</v>
      </c>
      <c r="AF86" s="30" t="s">
        <v>370</v>
      </c>
    </row>
    <row r="87" spans="1:32" ht="69" x14ac:dyDescent="0.3">
      <c r="A87" s="148"/>
      <c r="B87" s="159">
        <v>0</v>
      </c>
      <c r="C87" s="148"/>
      <c r="D87" s="160">
        <v>0</v>
      </c>
      <c r="E87" s="75">
        <v>7.9479999999999995</v>
      </c>
      <c r="F87" s="75">
        <v>11.205</v>
      </c>
      <c r="G87" s="75">
        <v>11.045</v>
      </c>
      <c r="H87" s="75">
        <v>10.596</v>
      </c>
      <c r="I87" s="75">
        <v>10.198</v>
      </c>
      <c r="J87" s="73">
        <v>52020020005</v>
      </c>
      <c r="K87" s="30" t="s">
        <v>1312</v>
      </c>
      <c r="L87" s="30" t="s">
        <v>1313</v>
      </c>
      <c r="M87" s="22" t="s">
        <v>144</v>
      </c>
      <c r="N87" s="22" t="s">
        <v>373</v>
      </c>
      <c r="O87" s="73" t="s">
        <v>381</v>
      </c>
      <c r="P87" s="22" t="s">
        <v>590</v>
      </c>
      <c r="Q87" s="22" t="s">
        <v>373</v>
      </c>
      <c r="R87" s="22">
        <v>3</v>
      </c>
      <c r="S87" s="21">
        <v>43</v>
      </c>
      <c r="T87" s="22">
        <v>4</v>
      </c>
      <c r="U87" s="21">
        <v>850</v>
      </c>
      <c r="V87" s="21">
        <v>850</v>
      </c>
      <c r="W87" s="21">
        <v>300</v>
      </c>
      <c r="X87" s="21">
        <v>500</v>
      </c>
      <c r="Y87" s="94">
        <v>700</v>
      </c>
      <c r="Z87" s="116">
        <v>850</v>
      </c>
      <c r="AA87" s="87">
        <v>862930365</v>
      </c>
      <c r="AB87" s="29">
        <v>706671505</v>
      </c>
      <c r="AC87" s="29">
        <v>2565084401</v>
      </c>
      <c r="AD87" s="29">
        <v>1597690000</v>
      </c>
      <c r="AE87" s="29">
        <f t="shared" si="2"/>
        <v>5732376271</v>
      </c>
      <c r="AF87" s="30" t="s">
        <v>369</v>
      </c>
    </row>
    <row r="88" spans="1:32" ht="69" x14ac:dyDescent="0.3">
      <c r="A88" s="148"/>
      <c r="B88" s="159">
        <v>0</v>
      </c>
      <c r="C88" s="148"/>
      <c r="D88" s="160">
        <v>0</v>
      </c>
      <c r="E88" s="75">
        <v>7.32</v>
      </c>
      <c r="F88" s="75">
        <v>9.92</v>
      </c>
      <c r="G88" s="75">
        <v>5.8790000000000004</v>
      </c>
      <c r="H88" s="75">
        <f>5.878+2</f>
        <v>7.8780000000000001</v>
      </c>
      <c r="I88" s="75">
        <v>6.2489999999999997</v>
      </c>
      <c r="J88" s="73">
        <v>52020020006</v>
      </c>
      <c r="K88" s="30" t="s">
        <v>1314</v>
      </c>
      <c r="L88" s="30" t="s">
        <v>1315</v>
      </c>
      <c r="M88" s="22" t="s">
        <v>107</v>
      </c>
      <c r="N88" s="22" t="s">
        <v>373</v>
      </c>
      <c r="O88" s="73" t="s">
        <v>381</v>
      </c>
      <c r="P88" s="22" t="s">
        <v>591</v>
      </c>
      <c r="Q88" s="22" t="s">
        <v>373</v>
      </c>
      <c r="R88" s="22">
        <v>3</v>
      </c>
      <c r="S88" s="21">
        <v>43</v>
      </c>
      <c r="T88" s="22">
        <v>4</v>
      </c>
      <c r="U88" s="21">
        <v>183</v>
      </c>
      <c r="V88" s="21">
        <v>383</v>
      </c>
      <c r="W88" s="21">
        <v>220</v>
      </c>
      <c r="X88" s="21">
        <v>283</v>
      </c>
      <c r="Y88" s="94">
        <v>350</v>
      </c>
      <c r="Z88" s="116">
        <v>383</v>
      </c>
      <c r="AA88" s="87">
        <v>725694417</v>
      </c>
      <c r="AB88" s="29">
        <v>292168620</v>
      </c>
      <c r="AC88" s="29">
        <v>659535680</v>
      </c>
      <c r="AD88" s="29">
        <v>927386000</v>
      </c>
      <c r="AE88" s="29">
        <f t="shared" si="2"/>
        <v>2604784717</v>
      </c>
      <c r="AF88" s="30" t="s">
        <v>369</v>
      </c>
    </row>
    <row r="89" spans="1:32" ht="55.2" x14ac:dyDescent="0.3">
      <c r="A89" s="148"/>
      <c r="B89" s="159">
        <v>0</v>
      </c>
      <c r="C89" s="148"/>
      <c r="D89" s="160">
        <v>0</v>
      </c>
      <c r="E89" s="75">
        <v>10.31</v>
      </c>
      <c r="F89" s="75">
        <v>8.4730000000000008</v>
      </c>
      <c r="G89" s="75">
        <v>8.8520000000000003</v>
      </c>
      <c r="H89" s="75">
        <f>6.519+4.858</f>
        <v>11.376999999999999</v>
      </c>
      <c r="I89" s="75">
        <v>8.5389999999999997</v>
      </c>
      <c r="J89" s="73">
        <v>52020020007</v>
      </c>
      <c r="K89" s="30" t="s">
        <v>1316</v>
      </c>
      <c r="L89" s="30" t="s">
        <v>1317</v>
      </c>
      <c r="M89" s="22" t="s">
        <v>107</v>
      </c>
      <c r="N89" s="22" t="s">
        <v>373</v>
      </c>
      <c r="O89" s="73" t="s">
        <v>381</v>
      </c>
      <c r="P89" s="22" t="s">
        <v>592</v>
      </c>
      <c r="Q89" s="22" t="s">
        <v>373</v>
      </c>
      <c r="R89" s="22">
        <v>3</v>
      </c>
      <c r="S89" s="21">
        <v>19</v>
      </c>
      <c r="T89" s="22">
        <v>2</v>
      </c>
      <c r="U89" s="21">
        <v>809487</v>
      </c>
      <c r="V89" s="21">
        <v>3297948</v>
      </c>
      <c r="W89" s="21">
        <v>814487</v>
      </c>
      <c r="X89" s="21">
        <v>1634974</v>
      </c>
      <c r="Y89" s="94">
        <v>2462461</v>
      </c>
      <c r="Z89" s="116">
        <v>3297948</v>
      </c>
      <c r="AA89" s="87">
        <v>1597734407</v>
      </c>
      <c r="AB89" s="29">
        <v>1234707265</v>
      </c>
      <c r="AC89" s="29">
        <v>1615979000</v>
      </c>
      <c r="AD89" s="29">
        <v>3100000000</v>
      </c>
      <c r="AE89" s="29">
        <f t="shared" si="2"/>
        <v>7548420672</v>
      </c>
      <c r="AF89" s="30" t="s">
        <v>356</v>
      </c>
    </row>
    <row r="90" spans="1:32" ht="138" x14ac:dyDescent="0.3">
      <c r="A90" s="148"/>
      <c r="B90" s="159">
        <v>0</v>
      </c>
      <c r="C90" s="148"/>
      <c r="D90" s="160">
        <v>0</v>
      </c>
      <c r="E90" s="75">
        <v>15.638</v>
      </c>
      <c r="F90" s="75">
        <v>15.898000000000001</v>
      </c>
      <c r="G90" s="75">
        <v>15.6</v>
      </c>
      <c r="H90" s="75">
        <f>16.597+4</f>
        <v>20.597000000000001</v>
      </c>
      <c r="I90" s="75">
        <v>15.933</v>
      </c>
      <c r="J90" s="73">
        <v>52020020008</v>
      </c>
      <c r="K90" s="30" t="s">
        <v>1318</v>
      </c>
      <c r="L90" s="30" t="s">
        <v>1319</v>
      </c>
      <c r="M90" s="22" t="s">
        <v>144</v>
      </c>
      <c r="N90" s="22" t="s">
        <v>373</v>
      </c>
      <c r="O90" s="73" t="s">
        <v>419</v>
      </c>
      <c r="P90" s="22" t="s">
        <v>593</v>
      </c>
      <c r="Q90" s="22" t="s">
        <v>373</v>
      </c>
      <c r="R90" s="22">
        <v>3</v>
      </c>
      <c r="S90" s="21">
        <v>43</v>
      </c>
      <c r="T90" s="22">
        <v>4</v>
      </c>
      <c r="U90" s="21">
        <v>36000</v>
      </c>
      <c r="V90" s="21">
        <v>40000</v>
      </c>
      <c r="W90" s="21">
        <v>9040</v>
      </c>
      <c r="X90" s="21">
        <v>20670</v>
      </c>
      <c r="Y90" s="94">
        <v>20000</v>
      </c>
      <c r="Z90" s="116">
        <v>40000</v>
      </c>
      <c r="AA90" s="87">
        <v>6259081998</v>
      </c>
      <c r="AB90" s="29">
        <v>5327014777</v>
      </c>
      <c r="AC90" s="29">
        <v>7266043387</v>
      </c>
      <c r="AD90" s="29">
        <v>6683884053</v>
      </c>
      <c r="AE90" s="29">
        <f t="shared" si="2"/>
        <v>25536024215</v>
      </c>
      <c r="AF90" s="30" t="s">
        <v>369</v>
      </c>
    </row>
    <row r="91" spans="1:32" ht="55.2" x14ac:dyDescent="0.3">
      <c r="A91" s="148"/>
      <c r="B91" s="159">
        <v>0</v>
      </c>
      <c r="C91" s="148"/>
      <c r="D91" s="160">
        <v>0</v>
      </c>
      <c r="E91" s="75">
        <v>12.47</v>
      </c>
      <c r="F91" s="75">
        <v>9.3369999999999997</v>
      </c>
      <c r="G91" s="75">
        <v>9.2039999999999988</v>
      </c>
      <c r="H91" s="75">
        <v>9.202</v>
      </c>
      <c r="I91" s="75">
        <v>10.052999999999999</v>
      </c>
      <c r="J91" s="73">
        <v>52020020009</v>
      </c>
      <c r="K91" s="30" t="s">
        <v>1320</v>
      </c>
      <c r="L91" s="30" t="s">
        <v>1321</v>
      </c>
      <c r="M91" s="22" t="s">
        <v>107</v>
      </c>
      <c r="N91" s="22" t="s">
        <v>373</v>
      </c>
      <c r="O91" s="73" t="s">
        <v>381</v>
      </c>
      <c r="P91" s="22" t="s">
        <v>594</v>
      </c>
      <c r="Q91" s="22" t="s">
        <v>373</v>
      </c>
      <c r="R91" s="22">
        <v>3</v>
      </c>
      <c r="S91" s="21">
        <v>43</v>
      </c>
      <c r="T91" s="22">
        <v>4</v>
      </c>
      <c r="U91" s="21">
        <v>4</v>
      </c>
      <c r="V91" s="21">
        <v>29</v>
      </c>
      <c r="W91" s="21">
        <v>5</v>
      </c>
      <c r="X91" s="21">
        <v>13</v>
      </c>
      <c r="Y91" s="94">
        <v>20</v>
      </c>
      <c r="Z91" s="116">
        <v>29</v>
      </c>
      <c r="AA91" s="87">
        <v>3381140237</v>
      </c>
      <c r="AB91" s="29">
        <v>932760292</v>
      </c>
      <c r="AC91" s="29">
        <v>1157524566</v>
      </c>
      <c r="AD91" s="29">
        <v>1291950074</v>
      </c>
      <c r="AE91" s="29">
        <f t="shared" si="2"/>
        <v>6763375169</v>
      </c>
      <c r="AF91" s="30" t="s">
        <v>369</v>
      </c>
    </row>
    <row r="92" spans="1:32" ht="27.6" x14ac:dyDescent="0.3">
      <c r="A92" s="148"/>
      <c r="B92" s="159">
        <v>0</v>
      </c>
      <c r="C92" s="148"/>
      <c r="D92" s="160">
        <v>0</v>
      </c>
      <c r="E92" s="75">
        <v>14.448</v>
      </c>
      <c r="F92" s="75">
        <v>11.427</v>
      </c>
      <c r="G92" s="75">
        <v>11.293000000000001</v>
      </c>
      <c r="H92" s="75">
        <v>12.291</v>
      </c>
      <c r="I92" s="75">
        <v>12.365</v>
      </c>
      <c r="J92" s="73">
        <v>52020020010</v>
      </c>
      <c r="K92" s="30" t="s">
        <v>1322</v>
      </c>
      <c r="L92" s="30" t="s">
        <v>1323</v>
      </c>
      <c r="M92" s="22" t="s">
        <v>107</v>
      </c>
      <c r="N92" s="22" t="s">
        <v>373</v>
      </c>
      <c r="O92" s="73" t="s">
        <v>381</v>
      </c>
      <c r="P92" s="22" t="s">
        <v>595</v>
      </c>
      <c r="Q92" s="22" t="s">
        <v>373</v>
      </c>
      <c r="R92" s="22">
        <v>3</v>
      </c>
      <c r="S92" s="21">
        <v>43</v>
      </c>
      <c r="T92" s="22">
        <v>4</v>
      </c>
      <c r="U92" s="21">
        <v>156</v>
      </c>
      <c r="V92" s="21">
        <v>308</v>
      </c>
      <c r="W92" s="21">
        <v>194</v>
      </c>
      <c r="X92" s="21">
        <v>232</v>
      </c>
      <c r="Y92" s="94">
        <v>277</v>
      </c>
      <c r="Z92" s="116">
        <v>308</v>
      </c>
      <c r="AA92" s="87">
        <v>4469009423</v>
      </c>
      <c r="AB92" s="29">
        <v>2318285872</v>
      </c>
      <c r="AC92" s="29">
        <v>2800000000</v>
      </c>
      <c r="AD92" s="29">
        <v>3706870000</v>
      </c>
      <c r="AE92" s="29">
        <f t="shared" si="2"/>
        <v>13294165295</v>
      </c>
      <c r="AF92" s="30" t="s">
        <v>369</v>
      </c>
    </row>
    <row r="93" spans="1:32" ht="51" customHeight="1" x14ac:dyDescent="0.3">
      <c r="A93" s="148"/>
      <c r="B93" s="159">
        <v>0</v>
      </c>
      <c r="C93" s="148" t="s">
        <v>1324</v>
      </c>
      <c r="D93" s="160">
        <v>7.0709999999999997</v>
      </c>
      <c r="E93" s="75">
        <v>20.120999999999999</v>
      </c>
      <c r="F93" s="75">
        <f>11.316+5.144</f>
        <v>16.46</v>
      </c>
      <c r="G93" s="75">
        <v>10.456999999999999</v>
      </c>
      <c r="H93" s="75">
        <f>10.619+2</f>
        <v>12.619</v>
      </c>
      <c r="I93" s="75">
        <v>13.129</v>
      </c>
      <c r="J93" s="73">
        <v>52020030001</v>
      </c>
      <c r="K93" s="30" t="s">
        <v>1325</v>
      </c>
      <c r="L93" s="30" t="s">
        <v>1326</v>
      </c>
      <c r="M93" s="22" t="s">
        <v>107</v>
      </c>
      <c r="N93" s="22" t="s">
        <v>373</v>
      </c>
      <c r="O93" s="73" t="s">
        <v>381</v>
      </c>
      <c r="P93" s="22" t="s">
        <v>596</v>
      </c>
      <c r="Q93" s="22" t="s">
        <v>373</v>
      </c>
      <c r="R93" s="22">
        <v>4</v>
      </c>
      <c r="S93" s="21">
        <v>41</v>
      </c>
      <c r="T93" s="22">
        <v>14</v>
      </c>
      <c r="U93" s="21">
        <v>0</v>
      </c>
      <c r="V93" s="21">
        <v>4</v>
      </c>
      <c r="W93" s="21">
        <v>1</v>
      </c>
      <c r="X93" s="21">
        <v>2</v>
      </c>
      <c r="Y93" s="94">
        <v>3</v>
      </c>
      <c r="Z93" s="116">
        <v>4</v>
      </c>
      <c r="AA93" s="87">
        <v>700000000</v>
      </c>
      <c r="AB93" s="29">
        <v>200000000</v>
      </c>
      <c r="AC93" s="29">
        <v>450000000</v>
      </c>
      <c r="AD93" s="29">
        <v>300000000</v>
      </c>
      <c r="AE93" s="29">
        <f t="shared" si="2"/>
        <v>1650000000</v>
      </c>
      <c r="AF93" s="30" t="s">
        <v>370</v>
      </c>
    </row>
    <row r="94" spans="1:32" ht="55.2" x14ac:dyDescent="0.3">
      <c r="A94" s="148"/>
      <c r="B94" s="159">
        <v>0</v>
      </c>
      <c r="C94" s="148"/>
      <c r="D94" s="160">
        <v>0</v>
      </c>
      <c r="E94" s="75">
        <v>0</v>
      </c>
      <c r="F94" s="75">
        <f>10.144-5-5.144</f>
        <v>0</v>
      </c>
      <c r="G94" s="75">
        <v>9.1939999999999991</v>
      </c>
      <c r="H94" s="75">
        <f>9.261+2-2</f>
        <v>9.2609999999999992</v>
      </c>
      <c r="I94" s="75">
        <v>7.1499999999999995</v>
      </c>
      <c r="J94" s="73">
        <v>52020030002</v>
      </c>
      <c r="K94" s="30" t="s">
        <v>1327</v>
      </c>
      <c r="L94" s="30" t="s">
        <v>1328</v>
      </c>
      <c r="M94" s="22" t="s">
        <v>107</v>
      </c>
      <c r="N94" s="22" t="s">
        <v>373</v>
      </c>
      <c r="O94" s="73" t="s">
        <v>381</v>
      </c>
      <c r="P94" s="22" t="s">
        <v>597</v>
      </c>
      <c r="Q94" s="22" t="s">
        <v>373</v>
      </c>
      <c r="R94" s="22">
        <v>4</v>
      </c>
      <c r="S94" s="21">
        <v>41</v>
      </c>
      <c r="T94" s="22">
        <v>14</v>
      </c>
      <c r="U94" s="21">
        <v>30</v>
      </c>
      <c r="V94" s="21">
        <v>150</v>
      </c>
      <c r="W94" s="21">
        <v>0</v>
      </c>
      <c r="X94" s="21">
        <v>0</v>
      </c>
      <c r="Y94" s="94">
        <v>130</v>
      </c>
      <c r="Z94" s="116">
        <v>150</v>
      </c>
      <c r="AA94" s="87">
        <v>0</v>
      </c>
      <c r="AB94" s="29">
        <v>0</v>
      </c>
      <c r="AC94" s="29">
        <v>740000000</v>
      </c>
      <c r="AD94" s="29">
        <v>100000000</v>
      </c>
      <c r="AE94" s="29">
        <f t="shared" si="2"/>
        <v>840000000</v>
      </c>
      <c r="AF94" s="30" t="s">
        <v>370</v>
      </c>
    </row>
    <row r="95" spans="1:32" ht="55.2" x14ac:dyDescent="0.3">
      <c r="A95" s="148"/>
      <c r="B95" s="159">
        <v>0</v>
      </c>
      <c r="C95" s="148"/>
      <c r="D95" s="160">
        <v>0</v>
      </c>
      <c r="E95" s="75">
        <v>18.588999999999999</v>
      </c>
      <c r="F95" s="75">
        <f>9.729-4-5.729</f>
        <v>0</v>
      </c>
      <c r="G95" s="75">
        <v>7.6980000000000004</v>
      </c>
      <c r="H95" s="75">
        <f>7.677+2</f>
        <v>9.6769999999999996</v>
      </c>
      <c r="I95" s="75">
        <v>10.923</v>
      </c>
      <c r="J95" s="73">
        <v>52020030003</v>
      </c>
      <c r="K95" s="30" t="s">
        <v>1329</v>
      </c>
      <c r="L95" s="30" t="s">
        <v>1330</v>
      </c>
      <c r="M95" s="22" t="s">
        <v>144</v>
      </c>
      <c r="N95" s="22" t="s">
        <v>373</v>
      </c>
      <c r="O95" s="73" t="s">
        <v>381</v>
      </c>
      <c r="P95" s="22" t="s">
        <v>598</v>
      </c>
      <c r="Q95" s="22" t="s">
        <v>373</v>
      </c>
      <c r="R95" s="22">
        <v>4</v>
      </c>
      <c r="S95" s="21">
        <v>41</v>
      </c>
      <c r="T95" s="22">
        <v>14</v>
      </c>
      <c r="U95" s="21">
        <v>1</v>
      </c>
      <c r="V95" s="21">
        <v>2</v>
      </c>
      <c r="W95" s="21">
        <v>1</v>
      </c>
      <c r="X95" s="21">
        <v>0</v>
      </c>
      <c r="Y95" s="94">
        <v>2</v>
      </c>
      <c r="Z95" s="116">
        <v>2</v>
      </c>
      <c r="AA95" s="87">
        <v>100000000</v>
      </c>
      <c r="AB95" s="29">
        <v>0</v>
      </c>
      <c r="AC95" s="29">
        <v>150000000</v>
      </c>
      <c r="AD95" s="29">
        <v>100000000</v>
      </c>
      <c r="AE95" s="29">
        <f t="shared" si="2"/>
        <v>350000000</v>
      </c>
      <c r="AF95" s="30" t="s">
        <v>370</v>
      </c>
    </row>
    <row r="96" spans="1:32" ht="41.4" x14ac:dyDescent="0.3">
      <c r="A96" s="148"/>
      <c r="B96" s="159">
        <v>0</v>
      </c>
      <c r="C96" s="148"/>
      <c r="D96" s="160">
        <v>0</v>
      </c>
      <c r="E96" s="75">
        <v>36.437000000000005</v>
      </c>
      <c r="F96" s="75">
        <f>27.273+4</f>
        <v>31.273</v>
      </c>
      <c r="G96" s="75">
        <v>24.606000000000002</v>
      </c>
      <c r="H96" s="75">
        <f>24.621+2.212</f>
        <v>26.832999999999998</v>
      </c>
      <c r="I96" s="75">
        <v>28.233000000000004</v>
      </c>
      <c r="J96" s="73">
        <v>52020030004</v>
      </c>
      <c r="K96" s="30" t="s">
        <v>1331</v>
      </c>
      <c r="L96" s="30" t="s">
        <v>1332</v>
      </c>
      <c r="M96" s="22" t="s">
        <v>107</v>
      </c>
      <c r="N96" s="22" t="s">
        <v>373</v>
      </c>
      <c r="O96" s="73" t="s">
        <v>381</v>
      </c>
      <c r="P96" s="22" t="s">
        <v>599</v>
      </c>
      <c r="Q96" s="22" t="s">
        <v>373</v>
      </c>
      <c r="R96" s="22">
        <v>16</v>
      </c>
      <c r="S96" s="21">
        <v>41</v>
      </c>
      <c r="T96" s="22">
        <v>18</v>
      </c>
      <c r="U96" s="21">
        <v>10293</v>
      </c>
      <c r="V96" s="21">
        <v>14293</v>
      </c>
      <c r="W96" s="21">
        <v>10693</v>
      </c>
      <c r="X96" s="21">
        <v>12275</v>
      </c>
      <c r="Y96" s="94">
        <v>13293</v>
      </c>
      <c r="Z96" s="116">
        <v>14293</v>
      </c>
      <c r="AA96" s="87">
        <v>1172493873</v>
      </c>
      <c r="AB96" s="29">
        <v>2651597173</v>
      </c>
      <c r="AC96" s="29">
        <v>2296671448</v>
      </c>
      <c r="AD96" s="29">
        <v>3617964705</v>
      </c>
      <c r="AE96" s="29">
        <f t="shared" si="2"/>
        <v>9738727199</v>
      </c>
      <c r="AF96" s="30" t="s">
        <v>372</v>
      </c>
    </row>
    <row r="97" spans="1:32" ht="55.2" x14ac:dyDescent="0.3">
      <c r="A97" s="148"/>
      <c r="B97" s="159">
        <v>0</v>
      </c>
      <c r="C97" s="148"/>
      <c r="D97" s="160">
        <v>0</v>
      </c>
      <c r="E97" s="75">
        <v>0</v>
      </c>
      <c r="F97" s="75">
        <f>10.279+3</f>
        <v>13.279</v>
      </c>
      <c r="G97" s="75">
        <v>10.215999999999999</v>
      </c>
      <c r="H97" s="75">
        <v>10.270999999999999</v>
      </c>
      <c r="I97" s="75">
        <v>7.6920000000000002</v>
      </c>
      <c r="J97" s="73">
        <v>52020030005</v>
      </c>
      <c r="K97" s="30" t="s">
        <v>1333</v>
      </c>
      <c r="L97" s="30" t="s">
        <v>1334</v>
      </c>
      <c r="M97" s="22" t="s">
        <v>144</v>
      </c>
      <c r="N97" s="22" t="s">
        <v>373</v>
      </c>
      <c r="O97" s="73" t="s">
        <v>381</v>
      </c>
      <c r="P97" s="22" t="s">
        <v>600</v>
      </c>
      <c r="Q97" s="22" t="s">
        <v>373</v>
      </c>
      <c r="R97" s="22">
        <v>8</v>
      </c>
      <c r="S97" s="21">
        <v>35</v>
      </c>
      <c r="T97" s="22">
        <v>13</v>
      </c>
      <c r="U97" s="21">
        <v>0</v>
      </c>
      <c r="V97" s="21">
        <v>240</v>
      </c>
      <c r="W97" s="21">
        <v>0</v>
      </c>
      <c r="X97" s="21">
        <v>80</v>
      </c>
      <c r="Y97" s="94">
        <v>130</v>
      </c>
      <c r="Z97" s="116">
        <v>240</v>
      </c>
      <c r="AA97" s="87">
        <v>0</v>
      </c>
      <c r="AB97" s="29">
        <v>241000000</v>
      </c>
      <c r="AC97" s="29">
        <v>465339500</v>
      </c>
      <c r="AD97" s="29">
        <v>220000000</v>
      </c>
      <c r="AE97" s="29">
        <f t="shared" si="2"/>
        <v>926339500</v>
      </c>
      <c r="AF97" s="30" t="s">
        <v>357</v>
      </c>
    </row>
    <row r="98" spans="1:32" ht="55.2" x14ac:dyDescent="0.3">
      <c r="A98" s="148"/>
      <c r="B98" s="159">
        <v>0</v>
      </c>
      <c r="C98" s="148"/>
      <c r="D98" s="160">
        <v>0</v>
      </c>
      <c r="E98" s="75">
        <v>24.853000000000002</v>
      </c>
      <c r="F98" s="75">
        <f>11.269+5.729+4</f>
        <v>20.998000000000001</v>
      </c>
      <c r="G98" s="75">
        <v>16.989000000000001</v>
      </c>
      <c r="H98" s="75">
        <f>16.845+2+2</f>
        <v>20.844999999999999</v>
      </c>
      <c r="I98" s="75">
        <v>17.488999999999997</v>
      </c>
      <c r="J98" s="73">
        <v>52020030006</v>
      </c>
      <c r="K98" s="30" t="s">
        <v>1335</v>
      </c>
      <c r="L98" s="30" t="s">
        <v>1336</v>
      </c>
      <c r="M98" s="22" t="s">
        <v>107</v>
      </c>
      <c r="N98" s="22" t="s">
        <v>373</v>
      </c>
      <c r="O98" s="73" t="s">
        <v>381</v>
      </c>
      <c r="P98" s="22" t="s">
        <v>601</v>
      </c>
      <c r="Q98" s="22" t="s">
        <v>373</v>
      </c>
      <c r="R98" s="22">
        <v>3</v>
      </c>
      <c r="S98" s="21">
        <v>19</v>
      </c>
      <c r="T98" s="22">
        <v>2</v>
      </c>
      <c r="U98" s="21">
        <v>400</v>
      </c>
      <c r="V98" s="21">
        <v>2900</v>
      </c>
      <c r="W98" s="21">
        <v>800</v>
      </c>
      <c r="X98" s="21">
        <v>1400</v>
      </c>
      <c r="Y98" s="94">
        <v>2100</v>
      </c>
      <c r="Z98" s="116">
        <v>2900</v>
      </c>
      <c r="AA98" s="87">
        <v>882737905</v>
      </c>
      <c r="AB98" s="29">
        <v>753873998</v>
      </c>
      <c r="AC98" s="29">
        <v>972390000</v>
      </c>
      <c r="AD98" s="29">
        <v>3043974937</v>
      </c>
      <c r="AE98" s="29">
        <f t="shared" si="2"/>
        <v>5652976840</v>
      </c>
      <c r="AF98" s="30" t="s">
        <v>356</v>
      </c>
    </row>
    <row r="99" spans="1:32" ht="82.8" x14ac:dyDescent="0.3">
      <c r="A99" s="148"/>
      <c r="B99" s="159">
        <v>0</v>
      </c>
      <c r="C99" s="148"/>
      <c r="D99" s="160">
        <v>0</v>
      </c>
      <c r="E99" s="75">
        <v>0</v>
      </c>
      <c r="F99" s="75">
        <f>9.551+5+3.439</f>
        <v>17.990000000000002</v>
      </c>
      <c r="G99" s="75">
        <v>10.522</v>
      </c>
      <c r="H99" s="75">
        <v>10.494</v>
      </c>
      <c r="I99" s="75">
        <v>7.6420000000000003</v>
      </c>
      <c r="J99" s="73">
        <v>52020030007</v>
      </c>
      <c r="K99" s="30" t="s">
        <v>1337</v>
      </c>
      <c r="L99" s="30" t="s">
        <v>1338</v>
      </c>
      <c r="M99" s="22" t="s">
        <v>107</v>
      </c>
      <c r="N99" s="22" t="s">
        <v>373</v>
      </c>
      <c r="O99" s="73" t="s">
        <v>381</v>
      </c>
      <c r="P99" s="22" t="s">
        <v>602</v>
      </c>
      <c r="Q99" s="22" t="s">
        <v>373</v>
      </c>
      <c r="R99" s="22">
        <v>11</v>
      </c>
      <c r="S99" s="21">
        <v>33</v>
      </c>
      <c r="T99" s="22">
        <v>5</v>
      </c>
      <c r="U99" s="21">
        <v>0</v>
      </c>
      <c r="V99" s="21">
        <v>40</v>
      </c>
      <c r="W99" s="21">
        <v>0</v>
      </c>
      <c r="X99" s="21">
        <v>20</v>
      </c>
      <c r="Y99" s="94">
        <v>20</v>
      </c>
      <c r="Z99" s="116">
        <v>40</v>
      </c>
      <c r="AA99" s="87">
        <v>0</v>
      </c>
      <c r="AB99" s="29">
        <v>377396461</v>
      </c>
      <c r="AC99" s="29">
        <v>336028756</v>
      </c>
      <c r="AD99" s="29">
        <v>354328756</v>
      </c>
      <c r="AE99" s="29">
        <f t="shared" si="2"/>
        <v>1067753973</v>
      </c>
      <c r="AF99" s="30" t="s">
        <v>355</v>
      </c>
    </row>
    <row r="100" spans="1:32" ht="55.2" x14ac:dyDescent="0.3">
      <c r="A100" s="148"/>
      <c r="B100" s="159">
        <v>0</v>
      </c>
      <c r="C100" s="148"/>
      <c r="D100" s="160">
        <v>0</v>
      </c>
      <c r="E100" s="75">
        <v>0</v>
      </c>
      <c r="F100" s="75">
        <f>10.439-3-3.439-4</f>
        <v>0</v>
      </c>
      <c r="G100" s="75">
        <v>10.318</v>
      </c>
      <c r="H100" s="75">
        <f>10.212-2-2-2-2-2.212</f>
        <v>0</v>
      </c>
      <c r="I100" s="75">
        <v>7.742</v>
      </c>
      <c r="J100" s="73">
        <v>52020030008</v>
      </c>
      <c r="K100" s="30" t="s">
        <v>1339</v>
      </c>
      <c r="L100" s="30" t="s">
        <v>1340</v>
      </c>
      <c r="M100" s="22" t="s">
        <v>107</v>
      </c>
      <c r="N100" s="22" t="s">
        <v>373</v>
      </c>
      <c r="O100" s="73" t="s">
        <v>381</v>
      </c>
      <c r="P100" s="22" t="s">
        <v>603</v>
      </c>
      <c r="Q100" s="22" t="s">
        <v>373</v>
      </c>
      <c r="R100" s="22">
        <v>3</v>
      </c>
      <c r="S100" s="21">
        <v>43</v>
      </c>
      <c r="T100" s="22">
        <v>4</v>
      </c>
      <c r="U100" s="21">
        <v>0</v>
      </c>
      <c r="V100" s="21">
        <v>1000</v>
      </c>
      <c r="W100" s="21">
        <v>0</v>
      </c>
      <c r="X100" s="21">
        <v>0</v>
      </c>
      <c r="Y100" s="94">
        <v>1000</v>
      </c>
      <c r="Z100" s="116">
        <v>0</v>
      </c>
      <c r="AA100" s="87">
        <v>0</v>
      </c>
      <c r="AB100" s="29">
        <v>0</v>
      </c>
      <c r="AC100" s="29">
        <v>367474793</v>
      </c>
      <c r="AD100" s="29">
        <v>0</v>
      </c>
      <c r="AE100" s="29">
        <f t="shared" si="2"/>
        <v>367474793</v>
      </c>
      <c r="AF100" s="30" t="s">
        <v>369</v>
      </c>
    </row>
    <row r="101" spans="1:32" ht="82.8" x14ac:dyDescent="0.3">
      <c r="A101" s="148"/>
      <c r="B101" s="159">
        <v>0</v>
      </c>
      <c r="C101" s="148" t="s">
        <v>1341</v>
      </c>
      <c r="D101" s="160">
        <v>11.261000000000001</v>
      </c>
      <c r="E101" s="75">
        <v>33.698</v>
      </c>
      <c r="F101" s="75">
        <f>20.27+2</f>
        <v>22.27</v>
      </c>
      <c r="G101" s="74">
        <f>19.925+2</f>
        <v>21.925000000000001</v>
      </c>
      <c r="H101" s="75">
        <f>14.074-1+2</f>
        <v>15.074</v>
      </c>
      <c r="I101" s="75">
        <v>21.992000000000001</v>
      </c>
      <c r="J101" s="73">
        <v>52020040001</v>
      </c>
      <c r="K101" s="30" t="s">
        <v>1342</v>
      </c>
      <c r="L101" s="30" t="s">
        <v>1343</v>
      </c>
      <c r="M101" s="22" t="s">
        <v>107</v>
      </c>
      <c r="N101" s="22" t="s">
        <v>373</v>
      </c>
      <c r="O101" s="73" t="s">
        <v>381</v>
      </c>
      <c r="P101" s="22" t="s">
        <v>604</v>
      </c>
      <c r="Q101" s="22" t="s">
        <v>373</v>
      </c>
      <c r="R101" s="22">
        <v>3</v>
      </c>
      <c r="S101" s="21">
        <v>41</v>
      </c>
      <c r="T101" s="22">
        <v>14</v>
      </c>
      <c r="U101" s="21">
        <v>6000</v>
      </c>
      <c r="V101" s="21">
        <v>44000</v>
      </c>
      <c r="W101" s="21">
        <v>15500</v>
      </c>
      <c r="X101" s="21">
        <v>21833</v>
      </c>
      <c r="Y101" s="94">
        <v>34500</v>
      </c>
      <c r="Z101" s="116">
        <v>44000</v>
      </c>
      <c r="AA101" s="87">
        <v>4748898577</v>
      </c>
      <c r="AB101" s="29">
        <v>3730700000</v>
      </c>
      <c r="AC101" s="29">
        <v>4595989246</v>
      </c>
      <c r="AD101" s="29">
        <v>2984471969</v>
      </c>
      <c r="AE101" s="29">
        <f t="shared" si="2"/>
        <v>16060059792</v>
      </c>
      <c r="AF101" s="30" t="s">
        <v>370</v>
      </c>
    </row>
    <row r="102" spans="1:32" ht="55.2" x14ac:dyDescent="0.3">
      <c r="A102" s="148"/>
      <c r="B102" s="159">
        <v>0</v>
      </c>
      <c r="C102" s="148"/>
      <c r="D102" s="160">
        <v>0</v>
      </c>
      <c r="E102" s="75">
        <v>29.500999999999998</v>
      </c>
      <c r="F102" s="75">
        <f>23.064+3.726</f>
        <v>26.79</v>
      </c>
      <c r="G102" s="74">
        <f>22.727+2</f>
        <v>24.727</v>
      </c>
      <c r="H102" s="75">
        <f>21.365-2+2</f>
        <v>21.364999999999998</v>
      </c>
      <c r="I102" s="75">
        <v>24.164999999999999</v>
      </c>
      <c r="J102" s="73">
        <v>52020040002</v>
      </c>
      <c r="K102" s="30" t="s">
        <v>1344</v>
      </c>
      <c r="L102" s="30" t="s">
        <v>1345</v>
      </c>
      <c r="M102" s="22" t="s">
        <v>144</v>
      </c>
      <c r="N102" s="22" t="s">
        <v>373</v>
      </c>
      <c r="O102" s="73" t="s">
        <v>381</v>
      </c>
      <c r="P102" s="22" t="s">
        <v>605</v>
      </c>
      <c r="Q102" s="22" t="s">
        <v>373</v>
      </c>
      <c r="R102" s="22">
        <v>11</v>
      </c>
      <c r="S102" s="21">
        <v>41</v>
      </c>
      <c r="T102" s="22">
        <v>14</v>
      </c>
      <c r="U102" s="21">
        <v>270</v>
      </c>
      <c r="V102" s="21">
        <v>270</v>
      </c>
      <c r="W102" s="21">
        <v>270</v>
      </c>
      <c r="X102" s="21">
        <v>270</v>
      </c>
      <c r="Y102" s="94">
        <v>270</v>
      </c>
      <c r="Z102" s="116">
        <v>270</v>
      </c>
      <c r="AA102" s="87">
        <v>4104965080</v>
      </c>
      <c r="AB102" s="29">
        <v>5069518075</v>
      </c>
      <c r="AC102" s="29">
        <v>5765672796</v>
      </c>
      <c r="AD102" s="29">
        <v>9256043512</v>
      </c>
      <c r="AE102" s="29">
        <f t="shared" si="2"/>
        <v>24196199463</v>
      </c>
      <c r="AF102" s="30" t="s">
        <v>370</v>
      </c>
    </row>
    <row r="103" spans="1:32" ht="55.2" x14ac:dyDescent="0.3">
      <c r="A103" s="148"/>
      <c r="B103" s="159">
        <v>0</v>
      </c>
      <c r="C103" s="148"/>
      <c r="D103" s="160">
        <v>0</v>
      </c>
      <c r="E103" s="75">
        <v>0</v>
      </c>
      <c r="F103" s="75">
        <f>18.199+5.665</f>
        <v>23.864000000000001</v>
      </c>
      <c r="G103" s="74">
        <f>15.157+2</f>
        <v>17.157</v>
      </c>
      <c r="H103" s="75">
        <f>15.375-1+1.837</f>
        <v>16.212</v>
      </c>
      <c r="I103" s="75">
        <v>12.183</v>
      </c>
      <c r="J103" s="73">
        <v>52020040003</v>
      </c>
      <c r="K103" s="30" t="s">
        <v>1346</v>
      </c>
      <c r="L103" s="30" t="s">
        <v>1347</v>
      </c>
      <c r="M103" s="22" t="s">
        <v>107</v>
      </c>
      <c r="N103" s="22" t="s">
        <v>373</v>
      </c>
      <c r="O103" s="73" t="s">
        <v>381</v>
      </c>
      <c r="P103" s="22" t="s">
        <v>1786</v>
      </c>
      <c r="Q103" s="22" t="s">
        <v>373</v>
      </c>
      <c r="R103" s="22">
        <v>11</v>
      </c>
      <c r="S103" s="21">
        <v>41</v>
      </c>
      <c r="T103" s="22">
        <v>14</v>
      </c>
      <c r="U103" s="21">
        <v>3589</v>
      </c>
      <c r="V103" s="21">
        <v>5014</v>
      </c>
      <c r="W103" s="21">
        <v>0</v>
      </c>
      <c r="X103" s="21">
        <v>3714</v>
      </c>
      <c r="Y103" s="94">
        <v>4389</v>
      </c>
      <c r="Z103" s="116">
        <v>5014</v>
      </c>
      <c r="AA103" s="87">
        <v>0</v>
      </c>
      <c r="AB103" s="29">
        <v>1223581925</v>
      </c>
      <c r="AC103" s="29">
        <v>2936153450</v>
      </c>
      <c r="AD103" s="29">
        <v>5595625206</v>
      </c>
      <c r="AE103" s="29">
        <f t="shared" si="2"/>
        <v>9755360581</v>
      </c>
      <c r="AF103" s="30" t="s">
        <v>370</v>
      </c>
    </row>
    <row r="104" spans="1:32" ht="55.2" x14ac:dyDescent="0.3">
      <c r="A104" s="148"/>
      <c r="B104" s="159">
        <v>0</v>
      </c>
      <c r="C104" s="148"/>
      <c r="D104" s="160">
        <v>0</v>
      </c>
      <c r="E104" s="75">
        <v>0</v>
      </c>
      <c r="F104" s="75">
        <f>5.726-5.726</f>
        <v>0</v>
      </c>
      <c r="G104" s="74">
        <v>4.7249999999999996</v>
      </c>
      <c r="H104" s="75">
        <f>4.69+2</f>
        <v>6.69</v>
      </c>
      <c r="I104" s="75">
        <v>3.7850000000000001</v>
      </c>
      <c r="J104" s="73">
        <v>52020040004</v>
      </c>
      <c r="K104" s="30" t="s">
        <v>1348</v>
      </c>
      <c r="L104" s="30" t="s">
        <v>1349</v>
      </c>
      <c r="M104" s="22" t="s">
        <v>107</v>
      </c>
      <c r="N104" s="22" t="s">
        <v>373</v>
      </c>
      <c r="O104" s="73" t="s">
        <v>381</v>
      </c>
      <c r="P104" s="22" t="s">
        <v>1787</v>
      </c>
      <c r="Q104" s="22" t="s">
        <v>373</v>
      </c>
      <c r="R104" s="22">
        <v>10</v>
      </c>
      <c r="S104" s="21">
        <v>41</v>
      </c>
      <c r="T104" s="22">
        <v>14</v>
      </c>
      <c r="U104" s="21">
        <v>1060</v>
      </c>
      <c r="V104" s="21">
        <v>2120</v>
      </c>
      <c r="W104" s="21">
        <v>0</v>
      </c>
      <c r="X104" s="21">
        <v>0</v>
      </c>
      <c r="Y104" s="94">
        <v>1590</v>
      </c>
      <c r="Z104" s="116">
        <v>2120</v>
      </c>
      <c r="AA104" s="87">
        <v>0</v>
      </c>
      <c r="AB104" s="29">
        <v>0</v>
      </c>
      <c r="AC104" s="29">
        <v>155610453</v>
      </c>
      <c r="AD104" s="29">
        <v>259947300</v>
      </c>
      <c r="AE104" s="29">
        <f t="shared" si="2"/>
        <v>415557753</v>
      </c>
      <c r="AF104" s="30" t="s">
        <v>370</v>
      </c>
    </row>
    <row r="105" spans="1:32" ht="69" x14ac:dyDescent="0.3">
      <c r="A105" s="148"/>
      <c r="B105" s="159">
        <v>0</v>
      </c>
      <c r="C105" s="148"/>
      <c r="D105" s="160">
        <v>0</v>
      </c>
      <c r="E105" s="75">
        <v>0</v>
      </c>
      <c r="F105" s="75">
        <f>5.665-5.665</f>
        <v>0</v>
      </c>
      <c r="G105" s="74">
        <v>5.1029999999999998</v>
      </c>
      <c r="H105" s="75">
        <v>6.0750000000000002</v>
      </c>
      <c r="I105" s="75">
        <v>4.2110000000000003</v>
      </c>
      <c r="J105" s="73">
        <v>52020040005</v>
      </c>
      <c r="K105" s="30" t="s">
        <v>1350</v>
      </c>
      <c r="L105" s="30" t="s">
        <v>1351</v>
      </c>
      <c r="M105" s="22" t="s">
        <v>107</v>
      </c>
      <c r="N105" s="22" t="s">
        <v>373</v>
      </c>
      <c r="O105" s="73" t="s">
        <v>381</v>
      </c>
      <c r="P105" s="22" t="s">
        <v>606</v>
      </c>
      <c r="Q105" s="22" t="s">
        <v>373</v>
      </c>
      <c r="R105" s="22">
        <v>10</v>
      </c>
      <c r="S105" s="21">
        <v>41</v>
      </c>
      <c r="T105" s="22">
        <v>14</v>
      </c>
      <c r="U105" s="21">
        <v>613</v>
      </c>
      <c r="V105" s="21">
        <v>1413</v>
      </c>
      <c r="W105" s="21">
        <v>0</v>
      </c>
      <c r="X105" s="21">
        <v>0</v>
      </c>
      <c r="Y105" s="94">
        <v>1232</v>
      </c>
      <c r="Z105" s="116">
        <v>1413</v>
      </c>
      <c r="AA105" s="87">
        <v>0</v>
      </c>
      <c r="AB105" s="29">
        <v>0</v>
      </c>
      <c r="AC105" s="29">
        <v>237212055</v>
      </c>
      <c r="AD105" s="29">
        <v>259947300</v>
      </c>
      <c r="AE105" s="29">
        <f t="shared" si="2"/>
        <v>497159355</v>
      </c>
      <c r="AF105" s="30" t="s">
        <v>370</v>
      </c>
    </row>
    <row r="106" spans="1:32" ht="69" x14ac:dyDescent="0.3">
      <c r="A106" s="148"/>
      <c r="B106" s="159">
        <v>0</v>
      </c>
      <c r="C106" s="148"/>
      <c r="D106" s="160">
        <v>0</v>
      </c>
      <c r="E106" s="75">
        <v>16.866</v>
      </c>
      <c r="F106" s="75">
        <v>5.9649999999999999</v>
      </c>
      <c r="G106" s="74">
        <v>4.9560000000000004</v>
      </c>
      <c r="H106" s="75">
        <f>4.928+3</f>
        <v>7.9279999999999999</v>
      </c>
      <c r="I106" s="75">
        <v>8.1780000000000008</v>
      </c>
      <c r="J106" s="73">
        <v>52020040006</v>
      </c>
      <c r="K106" s="30" t="s">
        <v>1352</v>
      </c>
      <c r="L106" s="30" t="s">
        <v>1353</v>
      </c>
      <c r="M106" s="22" t="s">
        <v>144</v>
      </c>
      <c r="N106" s="22" t="s">
        <v>373</v>
      </c>
      <c r="O106" s="73" t="s">
        <v>381</v>
      </c>
      <c r="P106" s="22" t="s">
        <v>607</v>
      </c>
      <c r="Q106" s="22" t="s">
        <v>373</v>
      </c>
      <c r="R106" s="22">
        <v>11</v>
      </c>
      <c r="S106" s="21">
        <v>33</v>
      </c>
      <c r="T106" s="22">
        <v>5</v>
      </c>
      <c r="U106" s="21">
        <v>8</v>
      </c>
      <c r="V106" s="21">
        <v>9</v>
      </c>
      <c r="W106" s="21">
        <v>8</v>
      </c>
      <c r="X106" s="21">
        <v>9</v>
      </c>
      <c r="Y106" s="94">
        <v>3</v>
      </c>
      <c r="Z106" s="116">
        <v>9</v>
      </c>
      <c r="AA106" s="87">
        <v>193857296</v>
      </c>
      <c r="AB106" s="29">
        <v>98689800</v>
      </c>
      <c r="AC106" s="29">
        <v>78111133</v>
      </c>
      <c r="AD106" s="29">
        <v>507131900</v>
      </c>
      <c r="AE106" s="29">
        <f t="shared" si="2"/>
        <v>877790129</v>
      </c>
      <c r="AF106" s="30" t="s">
        <v>355</v>
      </c>
    </row>
    <row r="107" spans="1:32" ht="69" x14ac:dyDescent="0.3">
      <c r="A107" s="148"/>
      <c r="B107" s="159">
        <v>0</v>
      </c>
      <c r="C107" s="148"/>
      <c r="D107" s="160">
        <v>0</v>
      </c>
      <c r="E107" s="75">
        <v>19.934999999999999</v>
      </c>
      <c r="F107" s="75">
        <v>14.491999999999999</v>
      </c>
      <c r="G107" s="74">
        <f>14.368+1.325</f>
        <v>15.693</v>
      </c>
      <c r="H107" s="75">
        <f>13.937-0.8</f>
        <v>13.136999999999999</v>
      </c>
      <c r="I107" s="75">
        <v>15.683</v>
      </c>
      <c r="J107" s="73">
        <v>52020040007</v>
      </c>
      <c r="K107" s="30" t="s">
        <v>1354</v>
      </c>
      <c r="L107" s="30" t="s">
        <v>1355</v>
      </c>
      <c r="M107" s="22" t="s">
        <v>107</v>
      </c>
      <c r="N107" s="22" t="s">
        <v>373</v>
      </c>
      <c r="O107" s="73" t="s">
        <v>381</v>
      </c>
      <c r="P107" s="22" t="s">
        <v>608</v>
      </c>
      <c r="Q107" s="22" t="s">
        <v>373</v>
      </c>
      <c r="R107" s="22">
        <v>3</v>
      </c>
      <c r="S107" s="21">
        <v>43</v>
      </c>
      <c r="T107" s="22">
        <v>4</v>
      </c>
      <c r="U107" s="21">
        <v>13287</v>
      </c>
      <c r="V107" s="21">
        <v>42787</v>
      </c>
      <c r="W107" s="21">
        <v>16787</v>
      </c>
      <c r="X107" s="21">
        <v>28697</v>
      </c>
      <c r="Y107" s="94">
        <v>36089</v>
      </c>
      <c r="Z107" s="116">
        <v>42787</v>
      </c>
      <c r="AA107" s="87">
        <v>1344251646</v>
      </c>
      <c r="AB107" s="29">
        <v>741064864</v>
      </c>
      <c r="AC107" s="29">
        <v>1503126747</v>
      </c>
      <c r="AD107" s="29">
        <v>1343770000</v>
      </c>
      <c r="AE107" s="29">
        <f t="shared" si="2"/>
        <v>4932213257</v>
      </c>
      <c r="AF107" s="30" t="s">
        <v>369</v>
      </c>
    </row>
    <row r="108" spans="1:32" ht="69" x14ac:dyDescent="0.3">
      <c r="A108" s="148"/>
      <c r="B108" s="159">
        <v>0</v>
      </c>
      <c r="C108" s="148"/>
      <c r="D108" s="160">
        <v>0</v>
      </c>
      <c r="E108" s="75">
        <v>0</v>
      </c>
      <c r="F108" s="75">
        <v>6.6189999999999998</v>
      </c>
      <c r="G108" s="74">
        <v>5.7140000000000004</v>
      </c>
      <c r="H108" s="75">
        <f>6.419+1.5</f>
        <v>7.9189999999999996</v>
      </c>
      <c r="I108" s="75">
        <v>4.6879999999999997</v>
      </c>
      <c r="J108" s="73">
        <v>52020040008</v>
      </c>
      <c r="K108" s="30" t="s">
        <v>1356</v>
      </c>
      <c r="L108" s="30" t="s">
        <v>1357</v>
      </c>
      <c r="M108" s="22" t="s">
        <v>107</v>
      </c>
      <c r="N108" s="22" t="s">
        <v>373</v>
      </c>
      <c r="O108" s="73" t="s">
        <v>381</v>
      </c>
      <c r="P108" s="22" t="s">
        <v>609</v>
      </c>
      <c r="Q108" s="22" t="s">
        <v>373</v>
      </c>
      <c r="R108" s="22">
        <v>3</v>
      </c>
      <c r="S108" s="21">
        <v>41</v>
      </c>
      <c r="T108" s="22">
        <v>14</v>
      </c>
      <c r="U108" s="21">
        <v>1492</v>
      </c>
      <c r="V108" s="21">
        <v>4692</v>
      </c>
      <c r="W108" s="21">
        <v>0</v>
      </c>
      <c r="X108" s="21">
        <v>2492</v>
      </c>
      <c r="Y108" s="94">
        <v>3692</v>
      </c>
      <c r="Z108" s="116">
        <v>4692</v>
      </c>
      <c r="AA108" s="87">
        <v>0</v>
      </c>
      <c r="AB108" s="29">
        <v>642362132</v>
      </c>
      <c r="AC108" s="29">
        <v>472059220</v>
      </c>
      <c r="AD108" s="29">
        <v>555482659</v>
      </c>
      <c r="AE108" s="29">
        <f t="shared" si="2"/>
        <v>1669904011</v>
      </c>
      <c r="AF108" s="30" t="s">
        <v>356</v>
      </c>
    </row>
    <row r="109" spans="1:32" ht="41.4" x14ac:dyDescent="0.3">
      <c r="A109" s="148"/>
      <c r="B109" s="159">
        <v>0</v>
      </c>
      <c r="C109" s="148"/>
      <c r="D109" s="160">
        <v>0</v>
      </c>
      <c r="E109" s="75">
        <v>0</v>
      </c>
      <c r="F109" s="75">
        <v>0</v>
      </c>
      <c r="G109" s="74">
        <v>0</v>
      </c>
      <c r="H109" s="75">
        <f>13.137-0.8-2-3-2-1.5-2-1.837</f>
        <v>0</v>
      </c>
      <c r="I109" s="75">
        <v>3.2840000000000003</v>
      </c>
      <c r="J109" s="73">
        <v>52020040009</v>
      </c>
      <c r="K109" s="30" t="s">
        <v>1358</v>
      </c>
      <c r="L109" s="30" t="s">
        <v>1359</v>
      </c>
      <c r="M109" s="22" t="s">
        <v>107</v>
      </c>
      <c r="N109" s="22" t="s">
        <v>373</v>
      </c>
      <c r="O109" s="73" t="s">
        <v>381</v>
      </c>
      <c r="P109" s="22" t="s">
        <v>610</v>
      </c>
      <c r="Q109" s="22" t="s">
        <v>373</v>
      </c>
      <c r="R109" s="22">
        <v>11</v>
      </c>
      <c r="S109" s="21">
        <v>41</v>
      </c>
      <c r="T109" s="22">
        <v>14</v>
      </c>
      <c r="U109" s="21">
        <v>0</v>
      </c>
      <c r="V109" s="21">
        <v>1</v>
      </c>
      <c r="W109" s="21">
        <v>0</v>
      </c>
      <c r="X109" s="21">
        <v>0</v>
      </c>
      <c r="Y109" s="94">
        <v>0</v>
      </c>
      <c r="Z109" s="116">
        <v>0</v>
      </c>
      <c r="AA109" s="87">
        <v>0</v>
      </c>
      <c r="AB109" s="29">
        <v>0</v>
      </c>
      <c r="AC109" s="29">
        <v>0</v>
      </c>
      <c r="AD109" s="29">
        <v>0</v>
      </c>
      <c r="AE109" s="29">
        <f t="shared" si="2"/>
        <v>0</v>
      </c>
      <c r="AF109" s="30" t="s">
        <v>370</v>
      </c>
    </row>
    <row r="110" spans="1:32" ht="69" x14ac:dyDescent="0.3">
      <c r="A110" s="148"/>
      <c r="B110" s="159">
        <v>0</v>
      </c>
      <c r="C110" s="148"/>
      <c r="D110" s="160">
        <v>0</v>
      </c>
      <c r="E110" s="75">
        <v>0</v>
      </c>
      <c r="F110" s="75">
        <v>0</v>
      </c>
      <c r="G110" s="74">
        <f>7.325-2-2-2-1.325</f>
        <v>0</v>
      </c>
      <c r="H110" s="75">
        <f>0+1+1+2+0.8+0.8</f>
        <v>5.6</v>
      </c>
      <c r="I110" s="75">
        <v>1.831</v>
      </c>
      <c r="J110" s="73">
        <v>52020040010</v>
      </c>
      <c r="K110" s="30" t="s">
        <v>1360</v>
      </c>
      <c r="L110" s="30" t="s">
        <v>1361</v>
      </c>
      <c r="M110" s="22" t="s">
        <v>107</v>
      </c>
      <c r="N110" s="22" t="s">
        <v>373</v>
      </c>
      <c r="O110" s="73" t="s">
        <v>381</v>
      </c>
      <c r="P110" s="22" t="s">
        <v>611</v>
      </c>
      <c r="Q110" s="22" t="s">
        <v>373</v>
      </c>
      <c r="R110" s="22">
        <v>10</v>
      </c>
      <c r="S110" s="21">
        <v>19</v>
      </c>
      <c r="T110" s="22">
        <v>14</v>
      </c>
      <c r="U110" s="21">
        <v>0</v>
      </c>
      <c r="V110" s="21">
        <v>1</v>
      </c>
      <c r="W110" s="21">
        <v>0</v>
      </c>
      <c r="X110" s="21">
        <v>0</v>
      </c>
      <c r="Y110" s="94">
        <v>0</v>
      </c>
      <c r="Z110" s="116">
        <v>1</v>
      </c>
      <c r="AA110" s="87">
        <v>0</v>
      </c>
      <c r="AB110" s="29">
        <v>0</v>
      </c>
      <c r="AC110" s="29">
        <v>0</v>
      </c>
      <c r="AD110" s="29">
        <v>25270000</v>
      </c>
      <c r="AE110" s="29">
        <f t="shared" si="2"/>
        <v>25270000</v>
      </c>
      <c r="AF110" s="30" t="s">
        <v>364</v>
      </c>
    </row>
    <row r="111" spans="1:32" ht="102" customHeight="1" x14ac:dyDescent="0.3">
      <c r="A111" s="148"/>
      <c r="B111" s="159">
        <v>0</v>
      </c>
      <c r="C111" s="148" t="s">
        <v>1362</v>
      </c>
      <c r="D111" s="160">
        <v>8.6630000000000003</v>
      </c>
      <c r="E111" s="75">
        <v>0</v>
      </c>
      <c r="F111" s="75">
        <v>22.119</v>
      </c>
      <c r="G111" s="75">
        <f>21.093-6.5</f>
        <v>14.593</v>
      </c>
      <c r="H111" s="75">
        <f>23.244-8</f>
        <v>15.244</v>
      </c>
      <c r="I111" s="75">
        <v>16.614000000000001</v>
      </c>
      <c r="J111" s="73">
        <v>52020050001</v>
      </c>
      <c r="K111" s="30" t="s">
        <v>1363</v>
      </c>
      <c r="L111" s="30" t="s">
        <v>1364</v>
      </c>
      <c r="M111" s="22" t="s">
        <v>107</v>
      </c>
      <c r="N111" s="22" t="s">
        <v>373</v>
      </c>
      <c r="O111" s="73" t="s">
        <v>381</v>
      </c>
      <c r="P111" s="22" t="s">
        <v>612</v>
      </c>
      <c r="Q111" s="22" t="s">
        <v>373</v>
      </c>
      <c r="R111" s="22">
        <v>10</v>
      </c>
      <c r="S111" s="21">
        <v>41</v>
      </c>
      <c r="T111" s="22">
        <v>14</v>
      </c>
      <c r="U111" s="21">
        <v>8795</v>
      </c>
      <c r="V111" s="21">
        <v>15000</v>
      </c>
      <c r="W111" s="21">
        <v>0</v>
      </c>
      <c r="X111" s="21">
        <v>10863</v>
      </c>
      <c r="Y111" s="94">
        <v>13503</v>
      </c>
      <c r="Z111" s="116">
        <v>15000</v>
      </c>
      <c r="AA111" s="87">
        <v>0</v>
      </c>
      <c r="AB111" s="29">
        <v>1140900000</v>
      </c>
      <c r="AC111" s="29">
        <v>1061786000</v>
      </c>
      <c r="AD111" s="21">
        <v>1815779976</v>
      </c>
      <c r="AE111" s="29">
        <f t="shared" si="2"/>
        <v>4018465976</v>
      </c>
      <c r="AF111" s="30" t="s">
        <v>370</v>
      </c>
    </row>
    <row r="112" spans="1:32" ht="69" x14ac:dyDescent="0.3">
      <c r="A112" s="148"/>
      <c r="B112" s="159">
        <v>0</v>
      </c>
      <c r="C112" s="148"/>
      <c r="D112" s="160">
        <v>0</v>
      </c>
      <c r="E112" s="75">
        <v>18.786000000000001</v>
      </c>
      <c r="F112" s="75">
        <v>11.427</v>
      </c>
      <c r="G112" s="75">
        <v>11.959</v>
      </c>
      <c r="H112" s="75">
        <v>11.826000000000001</v>
      </c>
      <c r="I112" s="75">
        <v>13.499000000000001</v>
      </c>
      <c r="J112" s="73">
        <v>52020050002</v>
      </c>
      <c r="K112" s="30" t="s">
        <v>1365</v>
      </c>
      <c r="L112" s="30" t="s">
        <v>1366</v>
      </c>
      <c r="M112" s="22" t="s">
        <v>107</v>
      </c>
      <c r="N112" s="22" t="s">
        <v>373</v>
      </c>
      <c r="O112" s="73" t="s">
        <v>381</v>
      </c>
      <c r="P112" s="22" t="s">
        <v>613</v>
      </c>
      <c r="Q112" s="22" t="s">
        <v>373</v>
      </c>
      <c r="R112" s="22">
        <v>10</v>
      </c>
      <c r="S112" s="21">
        <v>41</v>
      </c>
      <c r="T112" s="22">
        <v>14</v>
      </c>
      <c r="U112" s="21">
        <v>6517</v>
      </c>
      <c r="V112" s="21">
        <v>10517</v>
      </c>
      <c r="W112" s="21">
        <v>7517</v>
      </c>
      <c r="X112" s="21">
        <v>8517</v>
      </c>
      <c r="Y112" s="94">
        <v>9957</v>
      </c>
      <c r="Z112" s="116">
        <v>10517</v>
      </c>
      <c r="AA112" s="87">
        <v>750000000</v>
      </c>
      <c r="AB112" s="29">
        <v>644450000</v>
      </c>
      <c r="AC112" s="29">
        <v>710000000</v>
      </c>
      <c r="AD112" s="29">
        <v>664143194</v>
      </c>
      <c r="AE112" s="29">
        <f t="shared" si="2"/>
        <v>2768593194</v>
      </c>
      <c r="AF112" s="30" t="s">
        <v>370</v>
      </c>
    </row>
    <row r="113" spans="1:32" ht="96.6" x14ac:dyDescent="0.3">
      <c r="A113" s="148"/>
      <c r="B113" s="159">
        <v>0</v>
      </c>
      <c r="C113" s="148"/>
      <c r="D113" s="160">
        <v>0</v>
      </c>
      <c r="E113" s="75">
        <v>18.268000000000001</v>
      </c>
      <c r="F113" s="75">
        <f>10.854+8.565</f>
        <v>19.418999999999997</v>
      </c>
      <c r="G113" s="75">
        <f>10.937+6.5</f>
        <v>17.436999999999998</v>
      </c>
      <c r="H113" s="75">
        <f>10.261+8</f>
        <v>18.260999999999999</v>
      </c>
      <c r="I113" s="75">
        <v>12.58</v>
      </c>
      <c r="J113" s="73">
        <v>52020050003</v>
      </c>
      <c r="K113" s="30" t="s">
        <v>1367</v>
      </c>
      <c r="L113" s="30" t="s">
        <v>1368</v>
      </c>
      <c r="M113" s="22" t="s">
        <v>107</v>
      </c>
      <c r="N113" s="22" t="s">
        <v>373</v>
      </c>
      <c r="O113" s="73" t="s">
        <v>381</v>
      </c>
      <c r="P113" s="22" t="s">
        <v>614</v>
      </c>
      <c r="Q113" s="22" t="s">
        <v>373</v>
      </c>
      <c r="R113" s="22">
        <v>10</v>
      </c>
      <c r="S113" s="21">
        <v>19</v>
      </c>
      <c r="T113" s="22">
        <v>2</v>
      </c>
      <c r="U113" s="21">
        <v>12391</v>
      </c>
      <c r="V113" s="21">
        <v>19741</v>
      </c>
      <c r="W113" s="21">
        <v>12791</v>
      </c>
      <c r="X113" s="21">
        <v>16691</v>
      </c>
      <c r="Y113" s="94">
        <v>18850</v>
      </c>
      <c r="Z113" s="116">
        <v>19741</v>
      </c>
      <c r="AA113" s="87">
        <v>2793439257</v>
      </c>
      <c r="AB113" s="29">
        <v>2016198115</v>
      </c>
      <c r="AC113" s="29">
        <v>2062487160</v>
      </c>
      <c r="AD113" s="29">
        <v>2417327929</v>
      </c>
      <c r="AE113" s="29">
        <f t="shared" si="2"/>
        <v>9289452461</v>
      </c>
      <c r="AF113" s="30" t="s">
        <v>356</v>
      </c>
    </row>
    <row r="114" spans="1:32" ht="82.8" x14ac:dyDescent="0.3">
      <c r="A114" s="148"/>
      <c r="B114" s="159">
        <v>0</v>
      </c>
      <c r="C114" s="148"/>
      <c r="D114" s="160">
        <v>0</v>
      </c>
      <c r="E114" s="75">
        <v>19.57</v>
      </c>
      <c r="F114" s="75">
        <v>11.161999999999999</v>
      </c>
      <c r="G114" s="75">
        <f>10.495+1</f>
        <v>11.494999999999999</v>
      </c>
      <c r="H114" s="75">
        <f>8.652+3</f>
        <v>11.651999999999999</v>
      </c>
      <c r="I114" s="75">
        <v>12.47</v>
      </c>
      <c r="J114" s="73">
        <v>52020050004</v>
      </c>
      <c r="K114" s="30" t="s">
        <v>1369</v>
      </c>
      <c r="L114" s="30" t="s">
        <v>1370</v>
      </c>
      <c r="M114" s="22" t="s">
        <v>144</v>
      </c>
      <c r="N114" s="22" t="s">
        <v>373</v>
      </c>
      <c r="O114" s="73" t="s">
        <v>381</v>
      </c>
      <c r="P114" s="22" t="s">
        <v>615</v>
      </c>
      <c r="Q114" s="22" t="s">
        <v>373</v>
      </c>
      <c r="R114" s="22">
        <v>10</v>
      </c>
      <c r="S114" s="21">
        <v>43</v>
      </c>
      <c r="T114" s="22">
        <v>4</v>
      </c>
      <c r="U114" s="21">
        <v>1000</v>
      </c>
      <c r="V114" s="21">
        <v>1900</v>
      </c>
      <c r="W114" s="21">
        <v>500</v>
      </c>
      <c r="X114" s="21">
        <v>1000</v>
      </c>
      <c r="Y114" s="94">
        <v>1500</v>
      </c>
      <c r="Z114" s="116">
        <v>1900</v>
      </c>
      <c r="AA114" s="87">
        <v>854608551</v>
      </c>
      <c r="AB114" s="29">
        <v>495385492</v>
      </c>
      <c r="AC114" s="29">
        <v>823817200</v>
      </c>
      <c r="AD114" s="29">
        <v>837622000</v>
      </c>
      <c r="AE114" s="29">
        <f t="shared" si="2"/>
        <v>3011433243</v>
      </c>
      <c r="AF114" s="30" t="s">
        <v>369</v>
      </c>
    </row>
    <row r="115" spans="1:32" ht="55.2" x14ac:dyDescent="0.3">
      <c r="A115" s="148"/>
      <c r="B115" s="159">
        <v>0</v>
      </c>
      <c r="C115" s="148"/>
      <c r="D115" s="160">
        <v>0</v>
      </c>
      <c r="E115" s="75">
        <v>12.64</v>
      </c>
      <c r="F115" s="75">
        <v>11.427</v>
      </c>
      <c r="G115" s="75">
        <f>12.2-1</f>
        <v>11.2</v>
      </c>
      <c r="H115" s="75">
        <f>12.084-3+2</f>
        <v>11.084</v>
      </c>
      <c r="I115" s="75">
        <v>12.088000000000001</v>
      </c>
      <c r="J115" s="73">
        <v>52020050005</v>
      </c>
      <c r="K115" s="30" t="s">
        <v>1371</v>
      </c>
      <c r="L115" s="30" t="s">
        <v>1372</v>
      </c>
      <c r="M115" s="22" t="s">
        <v>107</v>
      </c>
      <c r="N115" s="22" t="s">
        <v>373</v>
      </c>
      <c r="O115" s="73" t="s">
        <v>381</v>
      </c>
      <c r="P115" s="22" t="s">
        <v>616</v>
      </c>
      <c r="Q115" s="22" t="s">
        <v>373</v>
      </c>
      <c r="R115" s="22">
        <v>10</v>
      </c>
      <c r="S115" s="21">
        <v>33</v>
      </c>
      <c r="T115" s="22">
        <v>5</v>
      </c>
      <c r="U115" s="21">
        <v>5600</v>
      </c>
      <c r="V115" s="21">
        <v>12600</v>
      </c>
      <c r="W115" s="21">
        <v>5985</v>
      </c>
      <c r="X115" s="21">
        <v>8095</v>
      </c>
      <c r="Y115" s="94">
        <v>10784</v>
      </c>
      <c r="Z115" s="116">
        <v>12600</v>
      </c>
      <c r="AA115" s="87">
        <v>330792857</v>
      </c>
      <c r="AB115" s="29">
        <v>787085843</v>
      </c>
      <c r="AC115" s="29">
        <v>787085843</v>
      </c>
      <c r="AD115" s="29">
        <v>752424047</v>
      </c>
      <c r="AE115" s="29">
        <f t="shared" si="2"/>
        <v>2657388590</v>
      </c>
      <c r="AF115" s="30" t="s">
        <v>355</v>
      </c>
    </row>
    <row r="116" spans="1:32" ht="179.4" x14ac:dyDescent="0.3">
      <c r="A116" s="148"/>
      <c r="B116" s="159">
        <v>0</v>
      </c>
      <c r="C116" s="148"/>
      <c r="D116" s="160">
        <v>0</v>
      </c>
      <c r="E116" s="75">
        <v>30.736000000000001</v>
      </c>
      <c r="F116" s="75">
        <v>24.446000000000002</v>
      </c>
      <c r="G116" s="75">
        <v>24.646999999999998</v>
      </c>
      <c r="H116" s="75">
        <v>25.213999999999999</v>
      </c>
      <c r="I116" s="75">
        <v>26.261000000000003</v>
      </c>
      <c r="J116" s="73">
        <v>52020050006</v>
      </c>
      <c r="K116" s="30" t="s">
        <v>1373</v>
      </c>
      <c r="L116" s="30" t="s">
        <v>1374</v>
      </c>
      <c r="M116" s="22" t="s">
        <v>144</v>
      </c>
      <c r="N116" s="22" t="s">
        <v>373</v>
      </c>
      <c r="O116" s="73" t="s">
        <v>457</v>
      </c>
      <c r="P116" s="22" t="s">
        <v>617</v>
      </c>
      <c r="Q116" s="22" t="s">
        <v>373</v>
      </c>
      <c r="R116" s="22">
        <v>10</v>
      </c>
      <c r="S116" s="21">
        <v>41</v>
      </c>
      <c r="T116" s="22">
        <v>14</v>
      </c>
      <c r="U116" s="21">
        <v>4426</v>
      </c>
      <c r="V116" s="21">
        <v>4826</v>
      </c>
      <c r="W116" s="21">
        <v>4426</v>
      </c>
      <c r="X116" s="21">
        <v>4626</v>
      </c>
      <c r="Y116" s="94">
        <v>4726</v>
      </c>
      <c r="Z116" s="116">
        <v>4826</v>
      </c>
      <c r="AA116" s="87">
        <v>3210626718</v>
      </c>
      <c r="AB116" s="29">
        <v>1955297008</v>
      </c>
      <c r="AC116" s="29">
        <v>3221432241</v>
      </c>
      <c r="AD116" s="29">
        <v>3057723705</v>
      </c>
      <c r="AE116" s="29">
        <f t="shared" si="2"/>
        <v>11445079672</v>
      </c>
      <c r="AF116" s="30" t="s">
        <v>358</v>
      </c>
    </row>
    <row r="117" spans="1:32" ht="27.6" x14ac:dyDescent="0.3">
      <c r="A117" s="148"/>
      <c r="B117" s="159">
        <v>0</v>
      </c>
      <c r="C117" s="148"/>
      <c r="D117" s="160">
        <v>0</v>
      </c>
      <c r="E117" s="75">
        <v>0</v>
      </c>
      <c r="F117" s="75">
        <f>8.565-8.565</f>
        <v>0</v>
      </c>
      <c r="G117" s="75">
        <v>8.6690000000000005</v>
      </c>
      <c r="H117" s="75">
        <f>8.719-2</f>
        <v>6.7189999999999994</v>
      </c>
      <c r="I117" s="75">
        <v>6.4879999999999995</v>
      </c>
      <c r="J117" s="73">
        <v>52020050007</v>
      </c>
      <c r="K117" s="30" t="s">
        <v>1375</v>
      </c>
      <c r="L117" s="30" t="s">
        <v>1376</v>
      </c>
      <c r="M117" s="22" t="s">
        <v>107</v>
      </c>
      <c r="N117" s="22" t="s">
        <v>373</v>
      </c>
      <c r="O117" s="73" t="s">
        <v>381</v>
      </c>
      <c r="P117" s="22" t="s">
        <v>618</v>
      </c>
      <c r="Q117" s="22" t="s">
        <v>373</v>
      </c>
      <c r="R117" s="22">
        <v>10</v>
      </c>
      <c r="S117" s="21">
        <v>43</v>
      </c>
      <c r="T117" s="22">
        <v>4</v>
      </c>
      <c r="U117" s="21">
        <v>0</v>
      </c>
      <c r="V117" s="21">
        <v>3</v>
      </c>
      <c r="W117" s="21">
        <v>0</v>
      </c>
      <c r="X117" s="21">
        <v>0</v>
      </c>
      <c r="Y117" s="94">
        <v>1</v>
      </c>
      <c r="Z117" s="116">
        <v>3</v>
      </c>
      <c r="AA117" s="87">
        <v>0</v>
      </c>
      <c r="AB117" s="29">
        <v>0</v>
      </c>
      <c r="AC117" s="29">
        <v>140055680</v>
      </c>
      <c r="AD117" s="29">
        <v>100000000</v>
      </c>
      <c r="AE117" s="29">
        <f t="shared" si="2"/>
        <v>240055680</v>
      </c>
      <c r="AF117" s="30" t="s">
        <v>369</v>
      </c>
    </row>
    <row r="118" spans="1:32" ht="69" x14ac:dyDescent="0.3">
      <c r="A118" s="148"/>
      <c r="B118" s="159">
        <v>0</v>
      </c>
      <c r="C118" s="148" t="s">
        <v>1377</v>
      </c>
      <c r="D118" s="160">
        <v>5.7939999999999996</v>
      </c>
      <c r="E118" s="75">
        <v>18.158999999999999</v>
      </c>
      <c r="F118" s="75">
        <f>14.303-14.303+3+2.5</f>
        <v>5.5</v>
      </c>
      <c r="G118" s="74">
        <f>10.675-10.675</f>
        <v>0</v>
      </c>
      <c r="H118" s="75">
        <v>9.6460000000000008</v>
      </c>
      <c r="I118" s="75">
        <v>11.790000000000001</v>
      </c>
      <c r="J118" s="73">
        <v>52020060001</v>
      </c>
      <c r="K118" s="30" t="s">
        <v>1378</v>
      </c>
      <c r="L118" s="30" t="s">
        <v>1379</v>
      </c>
      <c r="M118" s="22" t="s">
        <v>107</v>
      </c>
      <c r="N118" s="22" t="s">
        <v>373</v>
      </c>
      <c r="O118" s="73" t="s">
        <v>381</v>
      </c>
      <c r="P118" s="22" t="s">
        <v>619</v>
      </c>
      <c r="Q118" s="22" t="s">
        <v>373</v>
      </c>
      <c r="R118" s="22">
        <v>4</v>
      </c>
      <c r="S118" s="21">
        <v>41</v>
      </c>
      <c r="T118" s="22">
        <v>1</v>
      </c>
      <c r="U118" s="21">
        <v>80</v>
      </c>
      <c r="V118" s="21">
        <v>160</v>
      </c>
      <c r="W118" s="21">
        <v>90</v>
      </c>
      <c r="X118" s="21">
        <v>123</v>
      </c>
      <c r="Y118" s="94">
        <v>0</v>
      </c>
      <c r="Z118" s="116">
        <v>160</v>
      </c>
      <c r="AA118" s="87">
        <v>181375200</v>
      </c>
      <c r="AB118" s="29">
        <v>73578360</v>
      </c>
      <c r="AC118" s="29">
        <v>0</v>
      </c>
      <c r="AD118" s="29">
        <v>287074000</v>
      </c>
      <c r="AE118" s="29">
        <f t="shared" si="2"/>
        <v>542027560</v>
      </c>
      <c r="AF118" s="30" t="s">
        <v>358</v>
      </c>
    </row>
    <row r="119" spans="1:32" ht="41.4" x14ac:dyDescent="0.3">
      <c r="A119" s="148"/>
      <c r="B119" s="159">
        <v>0</v>
      </c>
      <c r="C119" s="148"/>
      <c r="D119" s="160">
        <v>0</v>
      </c>
      <c r="E119" s="75">
        <v>0</v>
      </c>
      <c r="F119" s="75">
        <f>0+14.303+8+3</f>
        <v>25.303000000000001</v>
      </c>
      <c r="G119" s="74">
        <f>9.38+2</f>
        <v>11.38</v>
      </c>
      <c r="H119" s="75">
        <f>12.099-2</f>
        <v>10.099</v>
      </c>
      <c r="I119" s="75">
        <v>13.36</v>
      </c>
      <c r="J119" s="73">
        <v>52020060002</v>
      </c>
      <c r="K119" s="30" t="s">
        <v>1380</v>
      </c>
      <c r="L119" s="30" t="s">
        <v>1381</v>
      </c>
      <c r="M119" s="22" t="s">
        <v>144</v>
      </c>
      <c r="N119" s="22" t="s">
        <v>373</v>
      </c>
      <c r="O119" s="73" t="s">
        <v>381</v>
      </c>
      <c r="P119" s="22" t="s">
        <v>620</v>
      </c>
      <c r="Q119" s="22" t="s">
        <v>373</v>
      </c>
      <c r="R119" s="22">
        <v>10</v>
      </c>
      <c r="S119" s="21">
        <v>41</v>
      </c>
      <c r="T119" s="22">
        <v>14</v>
      </c>
      <c r="U119" s="21">
        <v>0</v>
      </c>
      <c r="V119" s="21">
        <v>1</v>
      </c>
      <c r="W119" s="21">
        <v>0</v>
      </c>
      <c r="X119" s="21">
        <v>1</v>
      </c>
      <c r="Y119" s="94">
        <v>1</v>
      </c>
      <c r="Z119" s="116">
        <v>1</v>
      </c>
      <c r="AA119" s="87">
        <v>0</v>
      </c>
      <c r="AB119" s="29">
        <v>1977116793</v>
      </c>
      <c r="AC119" s="29">
        <v>186808177</v>
      </c>
      <c r="AD119" s="29">
        <v>359600000</v>
      </c>
      <c r="AE119" s="29">
        <f t="shared" si="2"/>
        <v>2523524970</v>
      </c>
      <c r="AF119" s="30" t="s">
        <v>370</v>
      </c>
    </row>
    <row r="120" spans="1:32" ht="82.8" x14ac:dyDescent="0.3">
      <c r="A120" s="148"/>
      <c r="B120" s="159">
        <v>0</v>
      </c>
      <c r="C120" s="148"/>
      <c r="D120" s="160">
        <v>0</v>
      </c>
      <c r="E120" s="75">
        <v>0</v>
      </c>
      <c r="F120" s="75">
        <f>18.363-8</f>
        <v>10.363</v>
      </c>
      <c r="G120" s="74">
        <f>8.442+3</f>
        <v>11.442</v>
      </c>
      <c r="H120" s="75">
        <f>8.519+1+0.493+2+5</f>
        <v>17.012</v>
      </c>
      <c r="I120" s="75">
        <v>6.0910000000000002</v>
      </c>
      <c r="J120" s="73">
        <v>52020060003</v>
      </c>
      <c r="K120" s="30" t="s">
        <v>1382</v>
      </c>
      <c r="L120" s="30" t="s">
        <v>1383</v>
      </c>
      <c r="M120" s="22" t="s">
        <v>107</v>
      </c>
      <c r="N120" s="22" t="s">
        <v>373</v>
      </c>
      <c r="O120" s="73" t="s">
        <v>381</v>
      </c>
      <c r="P120" s="22" t="s">
        <v>621</v>
      </c>
      <c r="Q120" s="22" t="s">
        <v>373</v>
      </c>
      <c r="R120" s="22">
        <v>10</v>
      </c>
      <c r="S120" s="21">
        <v>41</v>
      </c>
      <c r="T120" s="22">
        <v>14</v>
      </c>
      <c r="U120" s="21">
        <v>0</v>
      </c>
      <c r="V120" s="21">
        <v>2</v>
      </c>
      <c r="W120" s="21">
        <v>0</v>
      </c>
      <c r="X120" s="21">
        <v>1</v>
      </c>
      <c r="Y120" s="94">
        <v>2</v>
      </c>
      <c r="Z120" s="116">
        <v>2</v>
      </c>
      <c r="AA120" s="87">
        <v>0</v>
      </c>
      <c r="AB120" s="29">
        <v>100000000</v>
      </c>
      <c r="AC120" s="29">
        <v>200000000</v>
      </c>
      <c r="AD120" s="29">
        <v>832647000</v>
      </c>
      <c r="AE120" s="29">
        <f t="shared" si="2"/>
        <v>1132647000</v>
      </c>
      <c r="AF120" s="30" t="s">
        <v>370</v>
      </c>
    </row>
    <row r="121" spans="1:32" ht="96.6" x14ac:dyDescent="0.3">
      <c r="A121" s="148"/>
      <c r="B121" s="159">
        <v>0</v>
      </c>
      <c r="C121" s="148"/>
      <c r="D121" s="160">
        <v>0</v>
      </c>
      <c r="E121" s="75">
        <v>29.920999999999999</v>
      </c>
      <c r="F121" s="75">
        <f>0+15</f>
        <v>15</v>
      </c>
      <c r="G121" s="74">
        <f>31.366-2-7</f>
        <v>22.366</v>
      </c>
      <c r="H121" s="75">
        <v>30.423999999999999</v>
      </c>
      <c r="I121" s="75">
        <v>25.582999999999998</v>
      </c>
      <c r="J121" s="73">
        <v>52020060004</v>
      </c>
      <c r="K121" s="30" t="s">
        <v>1384</v>
      </c>
      <c r="L121" s="30" t="s">
        <v>1385</v>
      </c>
      <c r="M121" s="22" t="s">
        <v>107</v>
      </c>
      <c r="N121" s="22" t="s">
        <v>373</v>
      </c>
      <c r="O121" s="73" t="s">
        <v>381</v>
      </c>
      <c r="P121" s="22" t="s">
        <v>622</v>
      </c>
      <c r="Q121" s="22" t="s">
        <v>373</v>
      </c>
      <c r="R121" s="22">
        <v>10</v>
      </c>
      <c r="S121" s="21">
        <v>41</v>
      </c>
      <c r="T121" s="22">
        <v>14</v>
      </c>
      <c r="U121" s="21">
        <v>0</v>
      </c>
      <c r="V121" s="21">
        <v>4</v>
      </c>
      <c r="W121" s="21">
        <v>1</v>
      </c>
      <c r="X121" s="21">
        <v>2</v>
      </c>
      <c r="Y121" s="94">
        <v>3</v>
      </c>
      <c r="Z121" s="116">
        <v>4</v>
      </c>
      <c r="AA121" s="87">
        <v>298861600</v>
      </c>
      <c r="AB121" s="29">
        <v>726100408</v>
      </c>
      <c r="AC121" s="29">
        <v>850000000</v>
      </c>
      <c r="AD121" s="29">
        <v>1498194000</v>
      </c>
      <c r="AE121" s="29">
        <f t="shared" si="2"/>
        <v>3373156008</v>
      </c>
      <c r="AF121" s="30" t="s">
        <v>370</v>
      </c>
    </row>
    <row r="122" spans="1:32" ht="55.2" x14ac:dyDescent="0.3">
      <c r="A122" s="148"/>
      <c r="B122" s="159">
        <v>0</v>
      </c>
      <c r="C122" s="148"/>
      <c r="D122" s="160">
        <v>0</v>
      </c>
      <c r="E122" s="75">
        <v>30.035</v>
      </c>
      <c r="F122" s="75">
        <f>16.41-5</f>
        <v>11.41</v>
      </c>
      <c r="G122" s="74">
        <f>8.448-3-3-2.448+7+1.8+2.8</f>
        <v>11.600000000000001</v>
      </c>
      <c r="H122" s="75">
        <f>8.493-5-1-1-1-0.493+9+1+2</f>
        <v>12</v>
      </c>
      <c r="I122" s="75">
        <v>14.096</v>
      </c>
      <c r="J122" s="73">
        <v>52020060005</v>
      </c>
      <c r="K122" s="30" t="s">
        <v>1386</v>
      </c>
      <c r="L122" s="30" t="s">
        <v>1387</v>
      </c>
      <c r="M122" s="22" t="s">
        <v>107</v>
      </c>
      <c r="N122" s="22" t="s">
        <v>373</v>
      </c>
      <c r="O122" s="73" t="s">
        <v>381</v>
      </c>
      <c r="P122" s="22" t="s">
        <v>623</v>
      </c>
      <c r="Q122" s="22" t="s">
        <v>373</v>
      </c>
      <c r="R122" s="22">
        <v>10</v>
      </c>
      <c r="S122" s="21">
        <v>41</v>
      </c>
      <c r="T122" s="22">
        <v>14</v>
      </c>
      <c r="U122" s="21">
        <v>1</v>
      </c>
      <c r="V122" s="21">
        <v>2</v>
      </c>
      <c r="W122" s="21">
        <v>1</v>
      </c>
      <c r="X122" s="21">
        <v>2</v>
      </c>
      <c r="Y122" s="94">
        <v>2</v>
      </c>
      <c r="Z122" s="116">
        <v>2</v>
      </c>
      <c r="AA122" s="87">
        <v>300000000</v>
      </c>
      <c r="AB122" s="29">
        <v>150000000</v>
      </c>
      <c r="AC122" s="29">
        <v>326999993</v>
      </c>
      <c r="AD122" s="29">
        <v>773550000</v>
      </c>
      <c r="AE122" s="29">
        <f t="shared" si="2"/>
        <v>1550549993</v>
      </c>
      <c r="AF122" s="30" t="s">
        <v>370</v>
      </c>
    </row>
    <row r="123" spans="1:32" ht="179.4" x14ac:dyDescent="0.3">
      <c r="A123" s="148"/>
      <c r="B123" s="159">
        <v>0</v>
      </c>
      <c r="C123" s="148"/>
      <c r="D123" s="160">
        <v>0</v>
      </c>
      <c r="E123" s="75">
        <v>0</v>
      </c>
      <c r="F123" s="75">
        <f>18.035-5-2.5</f>
        <v>10.535</v>
      </c>
      <c r="G123" s="74">
        <f>10.978+2.448-1.8</f>
        <v>11.625999999999999</v>
      </c>
      <c r="H123" s="75">
        <v>10.906000000000001</v>
      </c>
      <c r="I123" s="75">
        <v>8.23</v>
      </c>
      <c r="J123" s="73">
        <v>52020060006</v>
      </c>
      <c r="K123" s="30" t="s">
        <v>1388</v>
      </c>
      <c r="L123" s="30" t="s">
        <v>1389</v>
      </c>
      <c r="M123" s="22" t="s">
        <v>107</v>
      </c>
      <c r="N123" s="22" t="s">
        <v>374</v>
      </c>
      <c r="O123" s="73" t="s">
        <v>624</v>
      </c>
      <c r="P123" s="22" t="s">
        <v>625</v>
      </c>
      <c r="Q123" s="22" t="s">
        <v>373</v>
      </c>
      <c r="R123" s="22">
        <v>3</v>
      </c>
      <c r="S123" s="21">
        <v>19</v>
      </c>
      <c r="T123" s="22">
        <v>2</v>
      </c>
      <c r="U123" s="21">
        <v>0</v>
      </c>
      <c r="V123" s="21">
        <v>100</v>
      </c>
      <c r="W123" s="21">
        <v>0</v>
      </c>
      <c r="X123" s="21">
        <v>50</v>
      </c>
      <c r="Y123" s="94">
        <v>25</v>
      </c>
      <c r="Z123" s="116">
        <v>100</v>
      </c>
      <c r="AA123" s="87">
        <v>0</v>
      </c>
      <c r="AB123" s="29">
        <v>250000000</v>
      </c>
      <c r="AC123" s="29">
        <v>225825000</v>
      </c>
      <c r="AD123" s="29">
        <v>485843562</v>
      </c>
      <c r="AE123" s="29">
        <f t="shared" si="2"/>
        <v>961668562</v>
      </c>
      <c r="AF123" s="30" t="s">
        <v>356</v>
      </c>
    </row>
    <row r="124" spans="1:32" ht="55.2" x14ac:dyDescent="0.3">
      <c r="A124" s="148"/>
      <c r="B124" s="159">
        <v>0</v>
      </c>
      <c r="C124" s="148"/>
      <c r="D124" s="160">
        <v>0</v>
      </c>
      <c r="E124" s="75">
        <v>0</v>
      </c>
      <c r="F124" s="75">
        <f>19.022-3-3</f>
        <v>13.021999999999998</v>
      </c>
      <c r="G124" s="74">
        <f>11.945+10.675-2.8</f>
        <v>19.82</v>
      </c>
      <c r="H124" s="75">
        <f>11.815+5-9-2</f>
        <v>5.8149999999999977</v>
      </c>
      <c r="I124" s="75">
        <v>8.9459999999999997</v>
      </c>
      <c r="J124" s="73">
        <v>52020060007</v>
      </c>
      <c r="K124" s="30" t="s">
        <v>1390</v>
      </c>
      <c r="L124" s="30" t="s">
        <v>1391</v>
      </c>
      <c r="M124" s="22" t="s">
        <v>144</v>
      </c>
      <c r="N124" s="22" t="s">
        <v>373</v>
      </c>
      <c r="O124" s="73" t="s">
        <v>381</v>
      </c>
      <c r="P124" s="22" t="s">
        <v>626</v>
      </c>
      <c r="Q124" s="22" t="s">
        <v>373</v>
      </c>
      <c r="R124" s="22">
        <v>11</v>
      </c>
      <c r="S124" s="21">
        <v>33</v>
      </c>
      <c r="T124" s="22">
        <v>5</v>
      </c>
      <c r="U124" s="21">
        <v>0</v>
      </c>
      <c r="V124" s="21">
        <v>5</v>
      </c>
      <c r="W124" s="21">
        <v>0</v>
      </c>
      <c r="X124" s="21">
        <v>5</v>
      </c>
      <c r="Y124" s="94">
        <v>5</v>
      </c>
      <c r="Z124" s="116">
        <v>5</v>
      </c>
      <c r="AA124" s="87">
        <v>0</v>
      </c>
      <c r="AB124" s="29">
        <v>557384014</v>
      </c>
      <c r="AC124" s="29">
        <v>702767184</v>
      </c>
      <c r="AD124" s="29">
        <v>141045274</v>
      </c>
      <c r="AE124" s="29">
        <f t="shared" si="2"/>
        <v>1401196472</v>
      </c>
      <c r="AF124" s="30" t="s">
        <v>355</v>
      </c>
    </row>
    <row r="125" spans="1:32" ht="82.8" x14ac:dyDescent="0.3">
      <c r="A125" s="148"/>
      <c r="B125" s="159">
        <v>0</v>
      </c>
      <c r="C125" s="148"/>
      <c r="D125" s="160">
        <v>0</v>
      </c>
      <c r="E125" s="75">
        <v>21.884999999999998</v>
      </c>
      <c r="F125" s="75">
        <f>13.867-5</f>
        <v>8.8670000000000009</v>
      </c>
      <c r="G125" s="74">
        <f>8.766+3</f>
        <v>11.766</v>
      </c>
      <c r="H125" s="75">
        <f>8.098+1-5</f>
        <v>4.0980000000000008</v>
      </c>
      <c r="I125" s="75">
        <v>11.904</v>
      </c>
      <c r="J125" s="73">
        <v>52020060008</v>
      </c>
      <c r="K125" s="30" t="s">
        <v>1392</v>
      </c>
      <c r="L125" s="30" t="s">
        <v>1393</v>
      </c>
      <c r="M125" s="22" t="s">
        <v>107</v>
      </c>
      <c r="N125" s="22" t="s">
        <v>373</v>
      </c>
      <c r="O125" s="73" t="s">
        <v>381</v>
      </c>
      <c r="P125" s="22" t="s">
        <v>627</v>
      </c>
      <c r="Q125" s="22" t="s">
        <v>373</v>
      </c>
      <c r="R125" s="22">
        <v>11</v>
      </c>
      <c r="S125" s="21">
        <v>33</v>
      </c>
      <c r="T125" s="22">
        <v>5</v>
      </c>
      <c r="U125" s="21">
        <v>20</v>
      </c>
      <c r="V125" s="21">
        <v>40</v>
      </c>
      <c r="W125" s="21">
        <v>24</v>
      </c>
      <c r="X125" s="21">
        <v>29</v>
      </c>
      <c r="Y125" s="94">
        <v>34</v>
      </c>
      <c r="Z125" s="116">
        <v>40</v>
      </c>
      <c r="AA125" s="87">
        <v>218597216</v>
      </c>
      <c r="AB125" s="29">
        <v>261748205</v>
      </c>
      <c r="AC125" s="29">
        <v>214590705</v>
      </c>
      <c r="AD125" s="29">
        <v>105850046</v>
      </c>
      <c r="AE125" s="29">
        <f t="shared" si="2"/>
        <v>800786172</v>
      </c>
      <c r="AF125" s="30" t="s">
        <v>355</v>
      </c>
    </row>
    <row r="126" spans="1:32" ht="76.5" customHeight="1" x14ac:dyDescent="0.3">
      <c r="A126" s="148"/>
      <c r="B126" s="159">
        <v>0</v>
      </c>
      <c r="C126" s="148" t="s">
        <v>1394</v>
      </c>
      <c r="D126" s="160">
        <v>5.8250000000000002</v>
      </c>
      <c r="E126" s="75">
        <v>27.650999999999996</v>
      </c>
      <c r="F126" s="75">
        <f>28.566+6</f>
        <v>34.566000000000003</v>
      </c>
      <c r="G126" s="74">
        <f>14.683+13.454</f>
        <v>28.137</v>
      </c>
      <c r="H126" s="75">
        <f>14.94+6.726+5.065</f>
        <v>26.731000000000002</v>
      </c>
      <c r="I126" s="75">
        <v>10.977</v>
      </c>
      <c r="J126" s="73">
        <v>52020070001</v>
      </c>
      <c r="K126" s="30" t="s">
        <v>1788</v>
      </c>
      <c r="L126" s="30" t="s">
        <v>1395</v>
      </c>
      <c r="M126" s="22" t="s">
        <v>144</v>
      </c>
      <c r="N126" s="22" t="s">
        <v>373</v>
      </c>
      <c r="O126" s="73" t="s">
        <v>381</v>
      </c>
      <c r="P126" s="22" t="s">
        <v>628</v>
      </c>
      <c r="Q126" s="22" t="s">
        <v>373</v>
      </c>
      <c r="R126" s="22">
        <v>10</v>
      </c>
      <c r="S126" s="21">
        <v>41</v>
      </c>
      <c r="T126" s="22">
        <v>14</v>
      </c>
      <c r="U126" s="21">
        <v>1400</v>
      </c>
      <c r="V126" s="21">
        <v>6000</v>
      </c>
      <c r="W126" s="21">
        <v>750</v>
      </c>
      <c r="X126" s="21">
        <v>1750</v>
      </c>
      <c r="Y126" s="94">
        <v>5000</v>
      </c>
      <c r="Z126" s="116">
        <v>6000</v>
      </c>
      <c r="AA126" s="87">
        <v>341260731</v>
      </c>
      <c r="AB126" s="29">
        <v>200000000</v>
      </c>
      <c r="AC126" s="29">
        <v>200000000</v>
      </c>
      <c r="AD126" s="29">
        <v>200000000</v>
      </c>
      <c r="AE126" s="29">
        <f t="shared" si="2"/>
        <v>941260731</v>
      </c>
      <c r="AF126" s="30" t="s">
        <v>370</v>
      </c>
    </row>
    <row r="127" spans="1:32" ht="82.8" x14ac:dyDescent="0.3">
      <c r="A127" s="148"/>
      <c r="B127" s="159">
        <v>0</v>
      </c>
      <c r="C127" s="148"/>
      <c r="D127" s="160">
        <v>0</v>
      </c>
      <c r="E127" s="75">
        <v>0</v>
      </c>
      <c r="F127" s="75">
        <v>0</v>
      </c>
      <c r="G127" s="74">
        <f>14.683-14.683</f>
        <v>0</v>
      </c>
      <c r="H127" s="75">
        <f>14.94-14.94</f>
        <v>0</v>
      </c>
      <c r="I127" s="75">
        <v>10.977</v>
      </c>
      <c r="J127" s="73">
        <v>52020070002</v>
      </c>
      <c r="K127" s="30" t="s">
        <v>1396</v>
      </c>
      <c r="L127" s="30" t="s">
        <v>1397</v>
      </c>
      <c r="M127" s="22" t="s">
        <v>107</v>
      </c>
      <c r="N127" s="22" t="s">
        <v>373</v>
      </c>
      <c r="O127" s="73" t="s">
        <v>381</v>
      </c>
      <c r="P127" s="22" t="s">
        <v>629</v>
      </c>
      <c r="Q127" s="22" t="s">
        <v>373</v>
      </c>
      <c r="R127" s="22">
        <v>10</v>
      </c>
      <c r="S127" s="21">
        <v>41</v>
      </c>
      <c r="T127" s="22">
        <v>14</v>
      </c>
      <c r="U127" s="21">
        <v>0</v>
      </c>
      <c r="V127" s="21">
        <v>3</v>
      </c>
      <c r="W127" s="21">
        <v>0</v>
      </c>
      <c r="X127" s="21">
        <v>0</v>
      </c>
      <c r="Y127" s="94">
        <v>0</v>
      </c>
      <c r="Z127" s="116">
        <v>0</v>
      </c>
      <c r="AA127" s="87">
        <v>0</v>
      </c>
      <c r="AB127" s="29">
        <v>0</v>
      </c>
      <c r="AC127" s="29">
        <v>0</v>
      </c>
      <c r="AD127" s="29">
        <v>0</v>
      </c>
      <c r="AE127" s="29">
        <f t="shared" si="2"/>
        <v>0</v>
      </c>
      <c r="AF127" s="30" t="s">
        <v>370</v>
      </c>
    </row>
    <row r="128" spans="1:32" ht="69" x14ac:dyDescent="0.3">
      <c r="A128" s="148"/>
      <c r="B128" s="159">
        <v>0</v>
      </c>
      <c r="C128" s="148"/>
      <c r="D128" s="160">
        <v>0</v>
      </c>
      <c r="E128" s="75">
        <v>0</v>
      </c>
      <c r="F128" s="75">
        <v>0</v>
      </c>
      <c r="G128" s="74">
        <f>13.454-13.454</f>
        <v>0</v>
      </c>
      <c r="H128" s="75">
        <f>14.033-8-6.033</f>
        <v>0</v>
      </c>
      <c r="I128" s="75">
        <v>10.057</v>
      </c>
      <c r="J128" s="73">
        <v>52020070003</v>
      </c>
      <c r="K128" s="30" t="s">
        <v>1398</v>
      </c>
      <c r="L128" s="30" t="s">
        <v>1399</v>
      </c>
      <c r="M128" s="22" t="s">
        <v>107</v>
      </c>
      <c r="N128" s="22" t="s">
        <v>373</v>
      </c>
      <c r="O128" s="73" t="s">
        <v>381</v>
      </c>
      <c r="P128" s="22" t="s">
        <v>630</v>
      </c>
      <c r="Q128" s="22" t="s">
        <v>373</v>
      </c>
      <c r="R128" s="22">
        <v>10</v>
      </c>
      <c r="S128" s="21">
        <v>41</v>
      </c>
      <c r="T128" s="22">
        <v>14</v>
      </c>
      <c r="U128" s="21">
        <v>0</v>
      </c>
      <c r="V128" s="21">
        <v>3</v>
      </c>
      <c r="W128" s="21">
        <v>0</v>
      </c>
      <c r="X128" s="21">
        <v>0</v>
      </c>
      <c r="Y128" s="94">
        <v>0</v>
      </c>
      <c r="Z128" s="116">
        <v>0</v>
      </c>
      <c r="AA128" s="87">
        <v>0</v>
      </c>
      <c r="AB128" s="29">
        <v>0</v>
      </c>
      <c r="AC128" s="29">
        <v>0</v>
      </c>
      <c r="AD128" s="29">
        <v>0</v>
      </c>
      <c r="AE128" s="29">
        <f t="shared" si="2"/>
        <v>0</v>
      </c>
      <c r="AF128" s="30" t="s">
        <v>370</v>
      </c>
    </row>
    <row r="129" spans="1:32" ht="55.2" x14ac:dyDescent="0.3">
      <c r="A129" s="148"/>
      <c r="B129" s="159">
        <v>0</v>
      </c>
      <c r="C129" s="148"/>
      <c r="D129" s="160">
        <v>0</v>
      </c>
      <c r="E129" s="75">
        <v>15.036</v>
      </c>
      <c r="F129" s="75">
        <v>0</v>
      </c>
      <c r="G129" s="74">
        <f>18.309-18.309</f>
        <v>0</v>
      </c>
      <c r="H129" s="75">
        <f>17.65-17.65</f>
        <v>0</v>
      </c>
      <c r="I129" s="75">
        <v>13.680999999999999</v>
      </c>
      <c r="J129" s="73">
        <v>52020070004</v>
      </c>
      <c r="K129" s="30" t="s">
        <v>1400</v>
      </c>
      <c r="L129" s="30" t="s">
        <v>1401</v>
      </c>
      <c r="M129" s="22" t="s">
        <v>144</v>
      </c>
      <c r="N129" s="22" t="s">
        <v>373</v>
      </c>
      <c r="O129" s="73" t="s">
        <v>381</v>
      </c>
      <c r="P129" s="22" t="s">
        <v>631</v>
      </c>
      <c r="Q129" s="22" t="s">
        <v>373</v>
      </c>
      <c r="R129" s="22">
        <v>10</v>
      </c>
      <c r="S129" s="21">
        <v>45</v>
      </c>
      <c r="T129" s="22">
        <v>14</v>
      </c>
      <c r="U129" s="21">
        <v>6</v>
      </c>
      <c r="V129" s="21">
        <v>6</v>
      </c>
      <c r="W129" s="21">
        <v>6</v>
      </c>
      <c r="X129" s="21">
        <v>0</v>
      </c>
      <c r="Y129" s="94">
        <v>0</v>
      </c>
      <c r="Z129" s="116">
        <v>0</v>
      </c>
      <c r="AA129" s="87">
        <v>202372916</v>
      </c>
      <c r="AB129" s="29">
        <v>0</v>
      </c>
      <c r="AC129" s="29">
        <v>0</v>
      </c>
      <c r="AD129" s="21">
        <v>0</v>
      </c>
      <c r="AE129" s="29">
        <f t="shared" si="2"/>
        <v>202372916</v>
      </c>
      <c r="AF129" s="30" t="s">
        <v>370</v>
      </c>
    </row>
    <row r="130" spans="1:32" ht="179.4" x14ac:dyDescent="0.3">
      <c r="A130" s="148"/>
      <c r="B130" s="159">
        <v>0</v>
      </c>
      <c r="C130" s="148"/>
      <c r="D130" s="160">
        <v>0</v>
      </c>
      <c r="E130" s="75">
        <v>24.581</v>
      </c>
      <c r="F130" s="75">
        <f>31.873+6-3</f>
        <v>34.873000000000005</v>
      </c>
      <c r="G130" s="74">
        <f>18.278+14.683+8.845</f>
        <v>41.805999999999997</v>
      </c>
      <c r="H130" s="75">
        <f>17.201+17.65+6.033</f>
        <v>40.884</v>
      </c>
      <c r="I130" s="75">
        <v>24.160999999999998</v>
      </c>
      <c r="J130" s="73">
        <v>52020070005</v>
      </c>
      <c r="K130" s="30" t="s">
        <v>1402</v>
      </c>
      <c r="L130" s="30" t="s">
        <v>1403</v>
      </c>
      <c r="M130" s="22" t="s">
        <v>107</v>
      </c>
      <c r="N130" s="22" t="s">
        <v>374</v>
      </c>
      <c r="O130" s="73" t="s">
        <v>624</v>
      </c>
      <c r="P130" s="22" t="s">
        <v>625</v>
      </c>
      <c r="Q130" s="22" t="s">
        <v>373</v>
      </c>
      <c r="R130" s="22">
        <v>3</v>
      </c>
      <c r="S130" s="21">
        <v>19</v>
      </c>
      <c r="T130" s="22">
        <v>2</v>
      </c>
      <c r="U130" s="21">
        <v>0</v>
      </c>
      <c r="V130" s="21">
        <v>100</v>
      </c>
      <c r="W130" s="21">
        <v>25</v>
      </c>
      <c r="X130" s="21">
        <v>50</v>
      </c>
      <c r="Y130" s="94">
        <v>75</v>
      </c>
      <c r="Z130" s="116">
        <v>100</v>
      </c>
      <c r="AA130" s="87">
        <v>684899095</v>
      </c>
      <c r="AB130" s="29">
        <v>360828255</v>
      </c>
      <c r="AC130" s="29">
        <v>290346000</v>
      </c>
      <c r="AD130" s="21">
        <v>300000000</v>
      </c>
      <c r="AE130" s="29">
        <f t="shared" si="2"/>
        <v>1636073350</v>
      </c>
      <c r="AF130" s="30" t="s">
        <v>356</v>
      </c>
    </row>
    <row r="131" spans="1:32" ht="69" x14ac:dyDescent="0.3">
      <c r="A131" s="148"/>
      <c r="B131" s="159">
        <v>0</v>
      </c>
      <c r="C131" s="148"/>
      <c r="D131" s="160">
        <v>0</v>
      </c>
      <c r="E131" s="75">
        <v>14.500999999999999</v>
      </c>
      <c r="F131" s="75">
        <f>17.841-5.841-6-6+5.841+3</f>
        <v>8.8410000000000011</v>
      </c>
      <c r="G131" s="74">
        <f>8.845-8.845</f>
        <v>0</v>
      </c>
      <c r="H131" s="75">
        <f>6.726-6.726</f>
        <v>0</v>
      </c>
      <c r="I131" s="75">
        <v>12.492000000000001</v>
      </c>
      <c r="J131" s="73">
        <v>52020070006</v>
      </c>
      <c r="K131" s="30" t="s">
        <v>1404</v>
      </c>
      <c r="L131" s="30" t="s">
        <v>1405</v>
      </c>
      <c r="M131" s="22" t="s">
        <v>107</v>
      </c>
      <c r="N131" s="22" t="s">
        <v>373</v>
      </c>
      <c r="O131" s="73" t="s">
        <v>381</v>
      </c>
      <c r="P131" s="22" t="s">
        <v>632</v>
      </c>
      <c r="Q131" s="22" t="s">
        <v>373</v>
      </c>
      <c r="R131" s="22">
        <v>4</v>
      </c>
      <c r="S131" s="21">
        <v>41</v>
      </c>
      <c r="T131" s="22">
        <v>1</v>
      </c>
      <c r="U131" s="21">
        <v>1</v>
      </c>
      <c r="V131" s="21">
        <v>3</v>
      </c>
      <c r="W131" s="21">
        <v>1</v>
      </c>
      <c r="X131" s="21">
        <v>1</v>
      </c>
      <c r="Y131" s="94">
        <v>0</v>
      </c>
      <c r="Z131" s="116">
        <v>0</v>
      </c>
      <c r="AA131" s="87">
        <v>78402500</v>
      </c>
      <c r="AB131" s="29">
        <v>66000000</v>
      </c>
      <c r="AC131" s="29">
        <v>0</v>
      </c>
      <c r="AD131" s="21">
        <v>0</v>
      </c>
      <c r="AE131" s="29">
        <f t="shared" si="2"/>
        <v>144402500</v>
      </c>
      <c r="AF131" s="30" t="s">
        <v>358</v>
      </c>
    </row>
    <row r="132" spans="1:32" ht="69" x14ac:dyDescent="0.3">
      <c r="A132" s="148"/>
      <c r="B132" s="159">
        <v>0</v>
      </c>
      <c r="C132" s="148"/>
      <c r="D132" s="160">
        <v>0</v>
      </c>
      <c r="E132" s="75">
        <v>18.231000000000002</v>
      </c>
      <c r="F132" s="75">
        <f>21.72+5.841-5.841</f>
        <v>21.72</v>
      </c>
      <c r="G132" s="74">
        <f>11.748+18.309</f>
        <v>30.057000000000002</v>
      </c>
      <c r="H132" s="75">
        <f>9.445+14.94+8</f>
        <v>32.384999999999998</v>
      </c>
      <c r="I132" s="75">
        <v>16.388999999999999</v>
      </c>
      <c r="J132" s="73">
        <v>52020070007</v>
      </c>
      <c r="K132" s="30" t="s">
        <v>1406</v>
      </c>
      <c r="L132" s="30" t="s">
        <v>1407</v>
      </c>
      <c r="M132" s="22" t="s">
        <v>144</v>
      </c>
      <c r="N132" s="22" t="s">
        <v>373</v>
      </c>
      <c r="O132" s="73" t="s">
        <v>381</v>
      </c>
      <c r="P132" s="22" t="s">
        <v>633</v>
      </c>
      <c r="Q132" s="22" t="s">
        <v>373</v>
      </c>
      <c r="R132" s="22">
        <v>11</v>
      </c>
      <c r="S132" s="21">
        <v>33</v>
      </c>
      <c r="T132" s="22">
        <v>5</v>
      </c>
      <c r="U132" s="21">
        <v>6</v>
      </c>
      <c r="V132" s="21">
        <v>8</v>
      </c>
      <c r="W132" s="21">
        <v>6</v>
      </c>
      <c r="X132" s="21">
        <v>8</v>
      </c>
      <c r="Y132" s="94">
        <v>8</v>
      </c>
      <c r="Z132" s="116">
        <v>8</v>
      </c>
      <c r="AA132" s="87">
        <v>273926619</v>
      </c>
      <c r="AB132" s="29">
        <v>182961730</v>
      </c>
      <c r="AC132" s="29">
        <v>244659435</v>
      </c>
      <c r="AD132" s="29">
        <v>244659435</v>
      </c>
      <c r="AE132" s="29">
        <f t="shared" si="2"/>
        <v>946207219</v>
      </c>
      <c r="AF132" s="30" t="s">
        <v>355</v>
      </c>
    </row>
    <row r="133" spans="1:32" ht="55.2" x14ac:dyDescent="0.3">
      <c r="A133" s="148"/>
      <c r="B133" s="159">
        <v>0</v>
      </c>
      <c r="C133" s="148"/>
      <c r="D133" s="160">
        <v>0</v>
      </c>
      <c r="E133" s="75">
        <v>0</v>
      </c>
      <c r="F133" s="75">
        <v>0</v>
      </c>
      <c r="G133" s="74">
        <v>0</v>
      </c>
      <c r="H133" s="75">
        <f>5.065-5.065</f>
        <v>0</v>
      </c>
      <c r="I133" s="75">
        <v>1.266</v>
      </c>
      <c r="J133" s="73">
        <v>52020070008</v>
      </c>
      <c r="K133" s="30" t="s">
        <v>1408</v>
      </c>
      <c r="L133" s="30" t="s">
        <v>1409</v>
      </c>
      <c r="M133" s="22" t="s">
        <v>107</v>
      </c>
      <c r="N133" s="22" t="s">
        <v>373</v>
      </c>
      <c r="O133" s="73" t="s">
        <v>381</v>
      </c>
      <c r="P133" s="22" t="s">
        <v>634</v>
      </c>
      <c r="Q133" s="22" t="s">
        <v>373</v>
      </c>
      <c r="R133" s="22">
        <v>8</v>
      </c>
      <c r="S133" s="21">
        <v>45</v>
      </c>
      <c r="T133" s="22">
        <v>16</v>
      </c>
      <c r="U133" s="21">
        <v>0</v>
      </c>
      <c r="V133" s="21">
        <v>1</v>
      </c>
      <c r="W133" s="21">
        <v>0</v>
      </c>
      <c r="X133" s="21">
        <v>0</v>
      </c>
      <c r="Y133" s="94">
        <v>0</v>
      </c>
      <c r="Z133" s="116">
        <v>0</v>
      </c>
      <c r="AA133" s="87">
        <v>0</v>
      </c>
      <c r="AB133" s="29">
        <v>0</v>
      </c>
      <c r="AC133" s="29">
        <v>0</v>
      </c>
      <c r="AD133" s="21">
        <v>0</v>
      </c>
      <c r="AE133" s="29">
        <f t="shared" si="2"/>
        <v>0</v>
      </c>
      <c r="AF133" s="30" t="s">
        <v>1141</v>
      </c>
    </row>
    <row r="134" spans="1:32" ht="69" x14ac:dyDescent="0.3">
      <c r="A134" s="148"/>
      <c r="B134" s="159">
        <v>0</v>
      </c>
      <c r="C134" s="148" t="s">
        <v>1410</v>
      </c>
      <c r="D134" s="160">
        <v>5.4269999999999996</v>
      </c>
      <c r="E134" s="75">
        <v>40.448999999999998</v>
      </c>
      <c r="F134" s="75">
        <f>46.848+13</f>
        <v>59.847999999999999</v>
      </c>
      <c r="G134" s="75">
        <f>29.898+27.95-20</f>
        <v>37.847999999999999</v>
      </c>
      <c r="H134" s="75">
        <f>29.898+24</f>
        <v>53.897999999999996</v>
      </c>
      <c r="I134" s="75">
        <v>31.971</v>
      </c>
      <c r="J134" s="73">
        <v>52020080001</v>
      </c>
      <c r="K134" s="30" t="s">
        <v>1411</v>
      </c>
      <c r="L134" s="30" t="s">
        <v>1412</v>
      </c>
      <c r="M134" s="22" t="s">
        <v>107</v>
      </c>
      <c r="N134" s="22" t="s">
        <v>373</v>
      </c>
      <c r="O134" s="73" t="s">
        <v>381</v>
      </c>
      <c r="P134" s="22" t="s">
        <v>635</v>
      </c>
      <c r="Q134" s="22" t="s">
        <v>373</v>
      </c>
      <c r="R134" s="22">
        <v>5</v>
      </c>
      <c r="S134" s="21">
        <v>41</v>
      </c>
      <c r="T134" s="22">
        <v>14</v>
      </c>
      <c r="U134" s="21">
        <v>1000</v>
      </c>
      <c r="V134" s="21">
        <v>3000</v>
      </c>
      <c r="W134" s="21">
        <v>1000</v>
      </c>
      <c r="X134" s="21">
        <v>1700</v>
      </c>
      <c r="Y134" s="94">
        <v>2450</v>
      </c>
      <c r="Z134" s="116">
        <v>3000</v>
      </c>
      <c r="AA134" s="87">
        <v>254991300</v>
      </c>
      <c r="AB134" s="29">
        <v>557784519</v>
      </c>
      <c r="AC134" s="29">
        <v>325000000</v>
      </c>
      <c r="AD134" s="29">
        <v>469707250</v>
      </c>
      <c r="AE134" s="29">
        <f t="shared" si="2"/>
        <v>1607483069</v>
      </c>
      <c r="AF134" s="30" t="s">
        <v>370</v>
      </c>
    </row>
    <row r="135" spans="1:32" ht="69" x14ac:dyDescent="0.3">
      <c r="A135" s="148"/>
      <c r="B135" s="159">
        <v>0</v>
      </c>
      <c r="C135" s="148"/>
      <c r="D135" s="160">
        <v>0</v>
      </c>
      <c r="E135" s="75">
        <v>25.847999999999999</v>
      </c>
      <c r="F135" s="75">
        <f>22.783-13-9.783</f>
        <v>0</v>
      </c>
      <c r="G135" s="75">
        <f>22.783</f>
        <v>22.783000000000001</v>
      </c>
      <c r="H135" s="75">
        <v>22.783000000000001</v>
      </c>
      <c r="I135" s="75">
        <v>24.363</v>
      </c>
      <c r="J135" s="73">
        <v>52020080002</v>
      </c>
      <c r="K135" s="30" t="s">
        <v>1413</v>
      </c>
      <c r="L135" s="30" t="s">
        <v>1414</v>
      </c>
      <c r="M135" s="22" t="s">
        <v>107</v>
      </c>
      <c r="N135" s="22" t="s">
        <v>373</v>
      </c>
      <c r="O135" s="73" t="s">
        <v>381</v>
      </c>
      <c r="P135" s="22" t="s">
        <v>636</v>
      </c>
      <c r="Q135" s="22" t="s">
        <v>373</v>
      </c>
      <c r="R135" s="22">
        <v>5</v>
      </c>
      <c r="S135" s="21">
        <v>45</v>
      </c>
      <c r="T135" s="22">
        <v>14</v>
      </c>
      <c r="U135" s="21">
        <v>0</v>
      </c>
      <c r="V135" s="21">
        <v>30</v>
      </c>
      <c r="W135" s="21">
        <v>7</v>
      </c>
      <c r="X135" s="21">
        <v>0</v>
      </c>
      <c r="Y135" s="94">
        <v>19</v>
      </c>
      <c r="Z135" s="116">
        <v>30</v>
      </c>
      <c r="AA135" s="87">
        <v>117414000</v>
      </c>
      <c r="AB135" s="29">
        <v>0</v>
      </c>
      <c r="AC135" s="29">
        <v>163003944</v>
      </c>
      <c r="AD135" s="21">
        <v>83013000</v>
      </c>
      <c r="AE135" s="29">
        <f t="shared" si="2"/>
        <v>363430944</v>
      </c>
      <c r="AF135" s="30" t="s">
        <v>370</v>
      </c>
    </row>
    <row r="136" spans="1:32" ht="96.6" x14ac:dyDescent="0.3">
      <c r="A136" s="148"/>
      <c r="B136" s="159">
        <v>0</v>
      </c>
      <c r="C136" s="148"/>
      <c r="D136" s="160">
        <v>0</v>
      </c>
      <c r="E136" s="75">
        <v>33.703000000000003</v>
      </c>
      <c r="F136" s="75">
        <f>30.369+9.783</f>
        <v>40.152000000000001</v>
      </c>
      <c r="G136" s="75">
        <f>19.369+20</f>
        <v>39.369</v>
      </c>
      <c r="H136" s="75">
        <f>19.369+3.95</f>
        <v>23.318999999999999</v>
      </c>
      <c r="I136" s="75">
        <v>20.712</v>
      </c>
      <c r="J136" s="73">
        <v>52020080003</v>
      </c>
      <c r="K136" s="30" t="s">
        <v>1415</v>
      </c>
      <c r="L136" s="30" t="s">
        <v>1416</v>
      </c>
      <c r="M136" s="22" t="s">
        <v>107</v>
      </c>
      <c r="N136" s="22" t="s">
        <v>373</v>
      </c>
      <c r="O136" s="73" t="s">
        <v>381</v>
      </c>
      <c r="P136" s="22" t="s">
        <v>637</v>
      </c>
      <c r="Q136" s="22" t="s">
        <v>373</v>
      </c>
      <c r="R136" s="22">
        <v>5</v>
      </c>
      <c r="S136" s="21">
        <v>45</v>
      </c>
      <c r="T136" s="22">
        <v>14</v>
      </c>
      <c r="U136" s="21">
        <v>4</v>
      </c>
      <c r="V136" s="21">
        <v>8</v>
      </c>
      <c r="W136" s="21">
        <v>5</v>
      </c>
      <c r="X136" s="21">
        <v>4</v>
      </c>
      <c r="Y136" s="94">
        <v>7</v>
      </c>
      <c r="Z136" s="116">
        <v>8</v>
      </c>
      <c r="AA136" s="87">
        <v>165000000</v>
      </c>
      <c r="AB136" s="29">
        <v>180209000</v>
      </c>
      <c r="AC136" s="29">
        <v>356195235</v>
      </c>
      <c r="AD136" s="29">
        <v>109944500</v>
      </c>
      <c r="AE136" s="29">
        <f t="shared" si="2"/>
        <v>811348735</v>
      </c>
      <c r="AF136" s="30" t="s">
        <v>370</v>
      </c>
    </row>
    <row r="137" spans="1:32" ht="69" x14ac:dyDescent="0.3">
      <c r="A137" s="148"/>
      <c r="B137" s="159">
        <v>0</v>
      </c>
      <c r="C137" s="148"/>
      <c r="D137" s="160">
        <v>0</v>
      </c>
      <c r="E137" s="75">
        <v>0</v>
      </c>
      <c r="F137" s="75">
        <v>0</v>
      </c>
      <c r="G137" s="75">
        <f>27.95-27.95</f>
        <v>0</v>
      </c>
      <c r="H137" s="75">
        <f>27.95-24-3.95</f>
        <v>0</v>
      </c>
      <c r="I137" s="75">
        <v>22.954000000000001</v>
      </c>
      <c r="J137" s="73">
        <v>52020080004</v>
      </c>
      <c r="K137" s="30" t="s">
        <v>1417</v>
      </c>
      <c r="L137" s="30" t="s">
        <v>1418</v>
      </c>
      <c r="M137" s="22" t="s">
        <v>144</v>
      </c>
      <c r="N137" s="22" t="s">
        <v>373</v>
      </c>
      <c r="O137" s="73" t="s">
        <v>381</v>
      </c>
      <c r="P137" s="22" t="s">
        <v>638</v>
      </c>
      <c r="Q137" s="22" t="s">
        <v>373</v>
      </c>
      <c r="R137" s="22">
        <v>10</v>
      </c>
      <c r="S137" s="21">
        <v>41</v>
      </c>
      <c r="T137" s="22">
        <v>14</v>
      </c>
      <c r="U137" s="21">
        <v>0</v>
      </c>
      <c r="V137" s="21">
        <v>1</v>
      </c>
      <c r="W137" s="21">
        <v>0</v>
      </c>
      <c r="X137" s="21">
        <v>0</v>
      </c>
      <c r="Y137" s="94">
        <v>0</v>
      </c>
      <c r="Z137" s="116">
        <v>0</v>
      </c>
      <c r="AA137" s="87">
        <v>0</v>
      </c>
      <c r="AB137" s="29">
        <v>0</v>
      </c>
      <c r="AC137" s="29">
        <v>0</v>
      </c>
      <c r="AD137" s="29">
        <v>0</v>
      </c>
      <c r="AE137" s="29">
        <f t="shared" si="2"/>
        <v>0</v>
      </c>
      <c r="AF137" s="30" t="s">
        <v>370</v>
      </c>
    </row>
    <row r="138" spans="1:32" ht="82.8" x14ac:dyDescent="0.3">
      <c r="A138" s="148"/>
      <c r="B138" s="159">
        <v>0</v>
      </c>
      <c r="C138" s="148" t="s">
        <v>1419</v>
      </c>
      <c r="D138" s="160">
        <v>6.4030000000000005</v>
      </c>
      <c r="E138" s="75">
        <v>21.835999999999999</v>
      </c>
      <c r="F138" s="75">
        <f>14.553+3</f>
        <v>17.553000000000001</v>
      </c>
      <c r="G138" s="75">
        <v>18.762</v>
      </c>
      <c r="H138" s="75">
        <v>18.207000000000001</v>
      </c>
      <c r="I138" s="75">
        <v>18.338999999999999</v>
      </c>
      <c r="J138" s="73">
        <v>52020090001</v>
      </c>
      <c r="K138" s="30" t="s">
        <v>1420</v>
      </c>
      <c r="L138" s="30" t="s">
        <v>1421</v>
      </c>
      <c r="M138" s="22" t="s">
        <v>107</v>
      </c>
      <c r="N138" s="22" t="s">
        <v>374</v>
      </c>
      <c r="O138" s="73" t="s">
        <v>507</v>
      </c>
      <c r="P138" s="22" t="s">
        <v>639</v>
      </c>
      <c r="Q138" s="22" t="s">
        <v>373</v>
      </c>
      <c r="R138" s="22">
        <v>1</v>
      </c>
      <c r="S138" s="21">
        <v>41</v>
      </c>
      <c r="T138" s="22">
        <v>14</v>
      </c>
      <c r="U138" s="21">
        <v>80</v>
      </c>
      <c r="V138" s="21">
        <v>90</v>
      </c>
      <c r="W138" s="21">
        <v>82</v>
      </c>
      <c r="X138" s="21">
        <v>20</v>
      </c>
      <c r="Y138" s="94">
        <v>86</v>
      </c>
      <c r="Z138" s="116">
        <v>90</v>
      </c>
      <c r="AA138" s="87">
        <v>350000000</v>
      </c>
      <c r="AB138" s="29">
        <v>100000000</v>
      </c>
      <c r="AC138" s="29">
        <v>500000000</v>
      </c>
      <c r="AD138" s="29">
        <v>300000000</v>
      </c>
      <c r="AE138" s="29">
        <f t="shared" si="2"/>
        <v>1250000000</v>
      </c>
      <c r="AF138" s="30" t="s">
        <v>370</v>
      </c>
    </row>
    <row r="139" spans="1:32" ht="82.8" x14ac:dyDescent="0.3">
      <c r="A139" s="148"/>
      <c r="B139" s="159">
        <v>0</v>
      </c>
      <c r="C139" s="148"/>
      <c r="D139" s="160">
        <v>0</v>
      </c>
      <c r="E139" s="75">
        <v>15.97</v>
      </c>
      <c r="F139" s="75">
        <f>14.249+3.731</f>
        <v>17.98</v>
      </c>
      <c r="G139" s="75">
        <v>14.333000000000002</v>
      </c>
      <c r="H139" s="75">
        <v>13.944999999999999</v>
      </c>
      <c r="I139" s="75">
        <v>14.624000000000001</v>
      </c>
      <c r="J139" s="73">
        <v>52020090002</v>
      </c>
      <c r="K139" s="30" t="s">
        <v>1422</v>
      </c>
      <c r="L139" s="30" t="s">
        <v>1423</v>
      </c>
      <c r="M139" s="22" t="s">
        <v>107</v>
      </c>
      <c r="N139" s="22" t="s">
        <v>374</v>
      </c>
      <c r="O139" s="73" t="s">
        <v>640</v>
      </c>
      <c r="P139" s="22" t="s">
        <v>641</v>
      </c>
      <c r="Q139" s="22" t="s">
        <v>373</v>
      </c>
      <c r="R139" s="22">
        <v>1</v>
      </c>
      <c r="S139" s="21">
        <v>41</v>
      </c>
      <c r="T139" s="22">
        <v>14</v>
      </c>
      <c r="U139" s="21">
        <v>80</v>
      </c>
      <c r="V139" s="21">
        <v>90</v>
      </c>
      <c r="W139" s="21">
        <v>82</v>
      </c>
      <c r="X139" s="21">
        <v>83</v>
      </c>
      <c r="Y139" s="94">
        <v>87</v>
      </c>
      <c r="Z139" s="116">
        <v>90</v>
      </c>
      <c r="AA139" s="87">
        <v>246500000</v>
      </c>
      <c r="AB139" s="29">
        <v>119398280</v>
      </c>
      <c r="AC139" s="29">
        <v>300000000</v>
      </c>
      <c r="AD139" s="21">
        <v>258318000</v>
      </c>
      <c r="AE139" s="29">
        <f t="shared" si="2"/>
        <v>924216280</v>
      </c>
      <c r="AF139" s="30" t="s">
        <v>370</v>
      </c>
    </row>
    <row r="140" spans="1:32" ht="82.8" x14ac:dyDescent="0.3">
      <c r="A140" s="148"/>
      <c r="B140" s="159">
        <v>0</v>
      </c>
      <c r="C140" s="148"/>
      <c r="D140" s="160">
        <v>0</v>
      </c>
      <c r="E140" s="75">
        <v>14.901</v>
      </c>
      <c r="F140" s="75">
        <f>14.731-4-4-3-3.731</f>
        <v>0</v>
      </c>
      <c r="G140" s="75">
        <v>13.225999999999999</v>
      </c>
      <c r="H140" s="75">
        <v>12.879</v>
      </c>
      <c r="I140" s="75">
        <v>13.936000000000002</v>
      </c>
      <c r="J140" s="73">
        <v>52020090003</v>
      </c>
      <c r="K140" s="30" t="s">
        <v>1424</v>
      </c>
      <c r="L140" s="30" t="s">
        <v>1425</v>
      </c>
      <c r="M140" s="22" t="s">
        <v>144</v>
      </c>
      <c r="N140" s="22" t="s">
        <v>374</v>
      </c>
      <c r="O140" s="73" t="s">
        <v>507</v>
      </c>
      <c r="P140" s="22" t="s">
        <v>642</v>
      </c>
      <c r="Q140" s="22" t="s">
        <v>373</v>
      </c>
      <c r="R140" s="22">
        <v>1</v>
      </c>
      <c r="S140" s="21">
        <v>41</v>
      </c>
      <c r="T140" s="22">
        <v>1</v>
      </c>
      <c r="U140" s="21">
        <v>26</v>
      </c>
      <c r="V140" s="21">
        <v>100</v>
      </c>
      <c r="W140" s="21">
        <v>100</v>
      </c>
      <c r="X140" s="21">
        <v>0</v>
      </c>
      <c r="Y140" s="94">
        <v>100</v>
      </c>
      <c r="Z140" s="116">
        <v>100</v>
      </c>
      <c r="AA140" s="87">
        <v>210000000</v>
      </c>
      <c r="AB140" s="29">
        <v>0</v>
      </c>
      <c r="AC140" s="29">
        <v>200000000</v>
      </c>
      <c r="AD140" s="29">
        <v>100000000</v>
      </c>
      <c r="AE140" s="29">
        <f t="shared" si="2"/>
        <v>510000000</v>
      </c>
      <c r="AF140" s="30" t="s">
        <v>370</v>
      </c>
    </row>
    <row r="141" spans="1:32" ht="69" x14ac:dyDescent="0.3">
      <c r="A141" s="148"/>
      <c r="B141" s="159">
        <v>0</v>
      </c>
      <c r="C141" s="148"/>
      <c r="D141" s="160">
        <v>0</v>
      </c>
      <c r="E141" s="75">
        <v>35.338999999999999</v>
      </c>
      <c r="F141" s="75">
        <f>39.686+4</f>
        <v>43.686</v>
      </c>
      <c r="G141" s="75">
        <v>34.994</v>
      </c>
      <c r="H141" s="75">
        <v>34.558999999999997</v>
      </c>
      <c r="I141" s="75">
        <v>36.143999999999998</v>
      </c>
      <c r="J141" s="73">
        <v>52020090004</v>
      </c>
      <c r="K141" s="30" t="s">
        <v>1426</v>
      </c>
      <c r="L141" s="30" t="s">
        <v>1427</v>
      </c>
      <c r="M141" s="22" t="s">
        <v>107</v>
      </c>
      <c r="N141" s="22" t="s">
        <v>373</v>
      </c>
      <c r="O141" s="73" t="s">
        <v>381</v>
      </c>
      <c r="P141" s="22" t="s">
        <v>643</v>
      </c>
      <c r="Q141" s="22" t="s">
        <v>373</v>
      </c>
      <c r="R141" s="22">
        <v>10</v>
      </c>
      <c r="S141" s="21">
        <v>43</v>
      </c>
      <c r="T141" s="22">
        <v>4</v>
      </c>
      <c r="U141" s="21">
        <v>4113</v>
      </c>
      <c r="V141" s="21">
        <v>18817</v>
      </c>
      <c r="W141" s="21">
        <v>5213</v>
      </c>
      <c r="X141" s="21">
        <v>9131</v>
      </c>
      <c r="Y141" s="94">
        <v>13064</v>
      </c>
      <c r="Z141" s="116">
        <v>18817</v>
      </c>
      <c r="AA141" s="87">
        <v>800000000</v>
      </c>
      <c r="AB141" s="29">
        <v>688220556</v>
      </c>
      <c r="AC141" s="29">
        <v>868809440</v>
      </c>
      <c r="AD141" s="29">
        <v>1683540000</v>
      </c>
      <c r="AE141" s="29">
        <f t="shared" si="2"/>
        <v>4040569996</v>
      </c>
      <c r="AF141" s="30" t="s">
        <v>369</v>
      </c>
    </row>
    <row r="142" spans="1:32" ht="96.6" x14ac:dyDescent="0.3">
      <c r="A142" s="148"/>
      <c r="B142" s="159">
        <v>0</v>
      </c>
      <c r="C142" s="148"/>
      <c r="D142" s="160">
        <v>0</v>
      </c>
      <c r="E142" s="75">
        <v>11.953999999999999</v>
      </c>
      <c r="F142" s="75">
        <f>16.781+4</f>
        <v>20.780999999999999</v>
      </c>
      <c r="G142" s="75">
        <v>18.684999999999999</v>
      </c>
      <c r="H142" s="75">
        <v>20.41</v>
      </c>
      <c r="I142" s="75">
        <v>16.957000000000001</v>
      </c>
      <c r="J142" s="73">
        <v>52020090005</v>
      </c>
      <c r="K142" s="30" t="s">
        <v>1428</v>
      </c>
      <c r="L142" s="30" t="s">
        <v>1429</v>
      </c>
      <c r="M142" s="22" t="s">
        <v>175</v>
      </c>
      <c r="N142" s="22" t="s">
        <v>373</v>
      </c>
      <c r="O142" s="73" t="s">
        <v>381</v>
      </c>
      <c r="P142" s="22" t="s">
        <v>644</v>
      </c>
      <c r="Q142" s="22" t="s">
        <v>373</v>
      </c>
      <c r="R142" s="22">
        <v>10</v>
      </c>
      <c r="S142" s="21">
        <v>41</v>
      </c>
      <c r="T142" s="21">
        <v>14</v>
      </c>
      <c r="U142" s="21">
        <v>1077</v>
      </c>
      <c r="V142" s="21">
        <v>1500</v>
      </c>
      <c r="W142" s="21">
        <v>1182</v>
      </c>
      <c r="X142" s="21">
        <v>1288</v>
      </c>
      <c r="Y142" s="94">
        <v>1405</v>
      </c>
      <c r="Z142" s="116">
        <v>1500</v>
      </c>
      <c r="AA142" s="87">
        <v>158000000</v>
      </c>
      <c r="AB142" s="29">
        <v>125340800</v>
      </c>
      <c r="AC142" s="29">
        <v>285000000</v>
      </c>
      <c r="AD142" s="29">
        <v>512000000</v>
      </c>
      <c r="AE142" s="29">
        <f t="shared" si="2"/>
        <v>1080340800</v>
      </c>
      <c r="AF142" s="30" t="s">
        <v>366</v>
      </c>
    </row>
    <row r="143" spans="1:32" ht="89.25" customHeight="1" x14ac:dyDescent="0.3">
      <c r="A143" s="148"/>
      <c r="B143" s="159">
        <v>0</v>
      </c>
      <c r="C143" s="148" t="s">
        <v>1430</v>
      </c>
      <c r="D143" s="160">
        <v>8.77</v>
      </c>
      <c r="E143" s="75">
        <v>100</v>
      </c>
      <c r="F143" s="75">
        <f>59.208+40.792</f>
        <v>100</v>
      </c>
      <c r="G143" s="75">
        <f>40.74+8.617+19.389+8.53+13.28+9.444</f>
        <v>100</v>
      </c>
      <c r="H143" s="75">
        <f>40.845+11.336+13.435+11.264+11.927+11.193</f>
        <v>99.999999999999986</v>
      </c>
      <c r="I143" s="75">
        <v>60.197999999999993</v>
      </c>
      <c r="J143" s="73">
        <v>52020100001</v>
      </c>
      <c r="K143" s="30" t="s">
        <v>1431</v>
      </c>
      <c r="L143" s="30" t="s">
        <v>1432</v>
      </c>
      <c r="M143" s="22" t="s">
        <v>144</v>
      </c>
      <c r="N143" s="22" t="s">
        <v>373</v>
      </c>
      <c r="O143" s="73" t="s">
        <v>381</v>
      </c>
      <c r="P143" s="22" t="s">
        <v>645</v>
      </c>
      <c r="Q143" s="22" t="s">
        <v>373</v>
      </c>
      <c r="R143" s="22">
        <v>10</v>
      </c>
      <c r="S143" s="21">
        <v>41</v>
      </c>
      <c r="T143" s="22">
        <v>14</v>
      </c>
      <c r="U143" s="21">
        <v>2180</v>
      </c>
      <c r="V143" s="21">
        <v>3000</v>
      </c>
      <c r="W143" s="21">
        <v>3000</v>
      </c>
      <c r="X143" s="21">
        <v>3000</v>
      </c>
      <c r="Y143" s="94">
        <v>3000</v>
      </c>
      <c r="Z143" s="116">
        <v>3000</v>
      </c>
      <c r="AA143" s="87">
        <v>6000000000</v>
      </c>
      <c r="AB143" s="29">
        <v>5631000000</v>
      </c>
      <c r="AC143" s="29">
        <v>4064754823</v>
      </c>
      <c r="AD143" s="29">
        <v>2522000000</v>
      </c>
      <c r="AE143" s="29">
        <f t="shared" si="2"/>
        <v>18217754823</v>
      </c>
      <c r="AF143" s="30" t="s">
        <v>370</v>
      </c>
    </row>
    <row r="144" spans="1:32" ht="138" x14ac:dyDescent="0.3">
      <c r="A144" s="148"/>
      <c r="B144" s="159">
        <v>0</v>
      </c>
      <c r="C144" s="148"/>
      <c r="D144" s="160">
        <v>0</v>
      </c>
      <c r="E144" s="75">
        <v>0</v>
      </c>
      <c r="F144" s="75">
        <v>0</v>
      </c>
      <c r="G144" s="75">
        <f>8.617-8.617</f>
        <v>0</v>
      </c>
      <c r="H144" s="75">
        <f>11.336-11.336</f>
        <v>0</v>
      </c>
      <c r="I144" s="75">
        <v>4.9880000000000004</v>
      </c>
      <c r="J144" s="73">
        <v>52020100002</v>
      </c>
      <c r="K144" s="30" t="s">
        <v>1433</v>
      </c>
      <c r="L144" s="30" t="s">
        <v>1434</v>
      </c>
      <c r="M144" s="22" t="s">
        <v>107</v>
      </c>
      <c r="N144" s="22" t="s">
        <v>374</v>
      </c>
      <c r="O144" s="73" t="s">
        <v>507</v>
      </c>
      <c r="P144" s="22" t="s">
        <v>646</v>
      </c>
      <c r="Q144" s="22" t="s">
        <v>373</v>
      </c>
      <c r="R144" s="22">
        <v>10</v>
      </c>
      <c r="S144" s="21">
        <v>41</v>
      </c>
      <c r="T144" s="22">
        <v>14</v>
      </c>
      <c r="U144" s="21">
        <v>0</v>
      </c>
      <c r="V144" s="21">
        <v>100</v>
      </c>
      <c r="W144" s="21">
        <v>0</v>
      </c>
      <c r="X144" s="21">
        <v>0</v>
      </c>
      <c r="Y144" s="94">
        <v>0</v>
      </c>
      <c r="Z144" s="116">
        <v>0</v>
      </c>
      <c r="AA144" s="87">
        <v>0</v>
      </c>
      <c r="AB144" s="29">
        <v>0</v>
      </c>
      <c r="AC144" s="29">
        <v>0</v>
      </c>
      <c r="AD144" s="29">
        <v>0</v>
      </c>
      <c r="AE144" s="29">
        <f t="shared" ref="AE144:AE208" si="3">SUM(AA144:AD144)</f>
        <v>0</v>
      </c>
      <c r="AF144" s="30" t="s">
        <v>370</v>
      </c>
    </row>
    <row r="145" spans="1:32" ht="193.2" x14ac:dyDescent="0.3">
      <c r="A145" s="148"/>
      <c r="B145" s="159">
        <v>0</v>
      </c>
      <c r="C145" s="148"/>
      <c r="D145" s="160">
        <v>0</v>
      </c>
      <c r="E145" s="75">
        <v>0</v>
      </c>
      <c r="F145" s="75">
        <v>0</v>
      </c>
      <c r="G145" s="75">
        <f>19.389-19.389</f>
        <v>0</v>
      </c>
      <c r="H145" s="75">
        <f>13.435-13.435</f>
        <v>0</v>
      </c>
      <c r="I145" s="75">
        <v>8.2059999999999995</v>
      </c>
      <c r="J145" s="73">
        <v>52020100003</v>
      </c>
      <c r="K145" s="30" t="s">
        <v>1435</v>
      </c>
      <c r="L145" s="30" t="s">
        <v>1436</v>
      </c>
      <c r="M145" s="22" t="s">
        <v>107</v>
      </c>
      <c r="N145" s="22" t="s">
        <v>374</v>
      </c>
      <c r="O145" s="73" t="s">
        <v>507</v>
      </c>
      <c r="P145" s="22" t="s">
        <v>647</v>
      </c>
      <c r="Q145" s="22" t="s">
        <v>373</v>
      </c>
      <c r="R145" s="22">
        <v>10</v>
      </c>
      <c r="S145" s="21">
        <v>41</v>
      </c>
      <c r="T145" s="22">
        <v>14</v>
      </c>
      <c r="U145" s="21">
        <v>0</v>
      </c>
      <c r="V145" s="21">
        <v>100</v>
      </c>
      <c r="W145" s="21">
        <v>0</v>
      </c>
      <c r="X145" s="21">
        <v>0</v>
      </c>
      <c r="Y145" s="94">
        <v>0</v>
      </c>
      <c r="Z145" s="116">
        <v>0</v>
      </c>
      <c r="AA145" s="87">
        <v>0</v>
      </c>
      <c r="AB145" s="29">
        <v>0</v>
      </c>
      <c r="AC145" s="29">
        <v>0</v>
      </c>
      <c r="AD145" s="29">
        <v>0</v>
      </c>
      <c r="AE145" s="29">
        <f t="shared" si="3"/>
        <v>0</v>
      </c>
      <c r="AF145" s="30" t="s">
        <v>370</v>
      </c>
    </row>
    <row r="146" spans="1:32" ht="82.8" x14ac:dyDescent="0.3">
      <c r="A146" s="148"/>
      <c r="B146" s="159">
        <v>0</v>
      </c>
      <c r="C146" s="148"/>
      <c r="D146" s="160">
        <v>0</v>
      </c>
      <c r="E146" s="75">
        <v>0</v>
      </c>
      <c r="F146" s="75">
        <v>0</v>
      </c>
      <c r="G146" s="75">
        <f>8.53-8.53</f>
        <v>0</v>
      </c>
      <c r="H146" s="75">
        <f>11.264-11.264</f>
        <v>0</v>
      </c>
      <c r="I146" s="75">
        <v>4.9489999999999998</v>
      </c>
      <c r="J146" s="73">
        <v>52020100004</v>
      </c>
      <c r="K146" s="30" t="s">
        <v>1437</v>
      </c>
      <c r="L146" s="30" t="s">
        <v>1438</v>
      </c>
      <c r="M146" s="22" t="s">
        <v>144</v>
      </c>
      <c r="N146" s="22" t="s">
        <v>373</v>
      </c>
      <c r="O146" s="73" t="s">
        <v>381</v>
      </c>
      <c r="P146" s="22" t="s">
        <v>648</v>
      </c>
      <c r="Q146" s="22" t="s">
        <v>373</v>
      </c>
      <c r="R146" s="22">
        <v>10</v>
      </c>
      <c r="S146" s="21">
        <v>41</v>
      </c>
      <c r="T146" s="22">
        <v>14</v>
      </c>
      <c r="U146" s="21">
        <v>0</v>
      </c>
      <c r="V146" s="21">
        <v>1</v>
      </c>
      <c r="W146" s="21">
        <v>0</v>
      </c>
      <c r="X146" s="21">
        <v>0</v>
      </c>
      <c r="Y146" s="94">
        <v>0</v>
      </c>
      <c r="Z146" s="116">
        <v>0</v>
      </c>
      <c r="AA146" s="87">
        <v>0</v>
      </c>
      <c r="AB146" s="29">
        <v>0</v>
      </c>
      <c r="AC146" s="29">
        <v>0</v>
      </c>
      <c r="AD146" s="21">
        <v>0</v>
      </c>
      <c r="AE146" s="29">
        <f t="shared" si="3"/>
        <v>0</v>
      </c>
      <c r="AF146" s="30" t="s">
        <v>370</v>
      </c>
    </row>
    <row r="147" spans="1:32" ht="82.8" x14ac:dyDescent="0.3">
      <c r="A147" s="148"/>
      <c r="B147" s="159">
        <v>0</v>
      </c>
      <c r="C147" s="148"/>
      <c r="D147" s="160">
        <v>0</v>
      </c>
      <c r="E147" s="75">
        <v>0</v>
      </c>
      <c r="F147" s="75">
        <f>40.792-40.792</f>
        <v>0</v>
      </c>
      <c r="G147" s="75">
        <f>13.28-13.28</f>
        <v>0</v>
      </c>
      <c r="H147" s="75">
        <f>11.927-11.927</f>
        <v>0</v>
      </c>
      <c r="I147" s="75">
        <v>16.5</v>
      </c>
      <c r="J147" s="73">
        <v>52020100005</v>
      </c>
      <c r="K147" s="30" t="s">
        <v>1439</v>
      </c>
      <c r="L147" s="30" t="s">
        <v>1440</v>
      </c>
      <c r="M147" s="22" t="s">
        <v>144</v>
      </c>
      <c r="N147" s="22" t="s">
        <v>373</v>
      </c>
      <c r="O147" s="73" t="s">
        <v>381</v>
      </c>
      <c r="P147" s="22" t="s">
        <v>645</v>
      </c>
      <c r="Q147" s="22" t="s">
        <v>373</v>
      </c>
      <c r="R147" s="22">
        <v>10</v>
      </c>
      <c r="S147" s="21">
        <v>41</v>
      </c>
      <c r="T147" s="22">
        <v>14</v>
      </c>
      <c r="U147" s="21">
        <v>0</v>
      </c>
      <c r="V147" s="21">
        <v>200</v>
      </c>
      <c r="W147" s="21">
        <v>0</v>
      </c>
      <c r="X147" s="21">
        <v>0</v>
      </c>
      <c r="Y147" s="94">
        <v>0</v>
      </c>
      <c r="Z147" s="116">
        <v>0</v>
      </c>
      <c r="AA147" s="87">
        <v>0</v>
      </c>
      <c r="AB147" s="29">
        <v>0</v>
      </c>
      <c r="AC147" s="29">
        <v>0</v>
      </c>
      <c r="AD147" s="21">
        <v>0</v>
      </c>
      <c r="AE147" s="29">
        <f t="shared" si="3"/>
        <v>0</v>
      </c>
      <c r="AF147" s="30" t="s">
        <v>370</v>
      </c>
    </row>
    <row r="148" spans="1:32" ht="165.6" x14ac:dyDescent="0.3">
      <c r="A148" s="148"/>
      <c r="B148" s="159">
        <v>0</v>
      </c>
      <c r="C148" s="148"/>
      <c r="D148" s="160">
        <v>0</v>
      </c>
      <c r="E148" s="75">
        <v>0</v>
      </c>
      <c r="F148" s="75">
        <v>0</v>
      </c>
      <c r="G148" s="75">
        <f>9.444-9.444</f>
        <v>0</v>
      </c>
      <c r="H148" s="75">
        <f>11.193-11.193</f>
        <v>0</v>
      </c>
      <c r="I148" s="75">
        <v>5.1589999999999998</v>
      </c>
      <c r="J148" s="73">
        <v>52020100006</v>
      </c>
      <c r="K148" s="30" t="s">
        <v>1441</v>
      </c>
      <c r="L148" s="30" t="s">
        <v>1442</v>
      </c>
      <c r="M148" s="22" t="s">
        <v>107</v>
      </c>
      <c r="N148" s="22" t="s">
        <v>374</v>
      </c>
      <c r="O148" s="73" t="s">
        <v>507</v>
      </c>
      <c r="P148" s="22" t="s">
        <v>649</v>
      </c>
      <c r="Q148" s="22" t="s">
        <v>373</v>
      </c>
      <c r="R148" s="22">
        <v>11</v>
      </c>
      <c r="S148" s="21">
        <v>41</v>
      </c>
      <c r="T148" s="22">
        <v>14</v>
      </c>
      <c r="U148" s="21">
        <v>0</v>
      </c>
      <c r="V148" s="21">
        <v>100</v>
      </c>
      <c r="W148" s="21">
        <v>0</v>
      </c>
      <c r="X148" s="21">
        <v>0</v>
      </c>
      <c r="Y148" s="94">
        <v>0</v>
      </c>
      <c r="Z148" s="116">
        <v>0</v>
      </c>
      <c r="AA148" s="87">
        <v>0</v>
      </c>
      <c r="AB148" s="29">
        <v>0</v>
      </c>
      <c r="AC148" s="29">
        <v>0</v>
      </c>
      <c r="AD148" s="21">
        <v>0</v>
      </c>
      <c r="AE148" s="29">
        <f t="shared" si="3"/>
        <v>0</v>
      </c>
      <c r="AF148" s="30" t="s">
        <v>370</v>
      </c>
    </row>
    <row r="149" spans="1:32" ht="69" x14ac:dyDescent="0.3">
      <c r="A149" s="148"/>
      <c r="B149" s="159">
        <v>0</v>
      </c>
      <c r="C149" s="148" t="s">
        <v>1443</v>
      </c>
      <c r="D149" s="160">
        <v>9.8369999999999997</v>
      </c>
      <c r="E149" s="75">
        <v>0</v>
      </c>
      <c r="F149" s="75">
        <v>23.724999999999998</v>
      </c>
      <c r="G149" s="75">
        <v>13.450999999999999</v>
      </c>
      <c r="H149" s="75">
        <f>16.266-8</f>
        <v>8.2659999999999982</v>
      </c>
      <c r="I149" s="75">
        <v>13.361000000000001</v>
      </c>
      <c r="J149" s="73">
        <v>52020110001</v>
      </c>
      <c r="K149" s="30" t="s">
        <v>1444</v>
      </c>
      <c r="L149" s="30" t="s">
        <v>1445</v>
      </c>
      <c r="M149" s="22" t="s">
        <v>107</v>
      </c>
      <c r="N149" s="22" t="s">
        <v>373</v>
      </c>
      <c r="O149" s="73" t="s">
        <v>381</v>
      </c>
      <c r="P149" s="22" t="s">
        <v>650</v>
      </c>
      <c r="Q149" s="22" t="s">
        <v>373</v>
      </c>
      <c r="R149" s="22">
        <v>5</v>
      </c>
      <c r="S149" s="21">
        <v>41</v>
      </c>
      <c r="T149" s="22">
        <v>14</v>
      </c>
      <c r="U149" s="21">
        <v>1</v>
      </c>
      <c r="V149" s="21">
        <v>2</v>
      </c>
      <c r="W149" s="21">
        <v>0</v>
      </c>
      <c r="X149" s="21">
        <v>2</v>
      </c>
      <c r="Y149" s="94">
        <v>2</v>
      </c>
      <c r="Z149" s="116">
        <v>2</v>
      </c>
      <c r="AA149" s="87">
        <v>0</v>
      </c>
      <c r="AB149" s="29">
        <v>581051005</v>
      </c>
      <c r="AC149" s="29">
        <v>456094834</v>
      </c>
      <c r="AD149" s="21">
        <v>125277000</v>
      </c>
      <c r="AE149" s="29">
        <f t="shared" si="3"/>
        <v>1162422839</v>
      </c>
      <c r="AF149" s="30" t="s">
        <v>370</v>
      </c>
    </row>
    <row r="150" spans="1:32" ht="124.2" x14ac:dyDescent="0.3">
      <c r="A150" s="148"/>
      <c r="B150" s="159">
        <v>0</v>
      </c>
      <c r="C150" s="148"/>
      <c r="D150" s="160">
        <v>0</v>
      </c>
      <c r="E150" s="75">
        <v>45.238</v>
      </c>
      <c r="F150" s="75">
        <v>19.748999999999999</v>
      </c>
      <c r="G150" s="75">
        <v>32.958999999999996</v>
      </c>
      <c r="H150" s="75">
        <f>31.483-5-2-2-2</f>
        <v>20.483000000000001</v>
      </c>
      <c r="I150" s="75">
        <v>32.356999999999999</v>
      </c>
      <c r="J150" s="73">
        <v>52020110002</v>
      </c>
      <c r="K150" s="30" t="s">
        <v>1446</v>
      </c>
      <c r="L150" s="30" t="s">
        <v>1447</v>
      </c>
      <c r="M150" s="22" t="s">
        <v>107</v>
      </c>
      <c r="N150" s="22" t="s">
        <v>373</v>
      </c>
      <c r="O150" s="73" t="s">
        <v>381</v>
      </c>
      <c r="P150" s="22" t="s">
        <v>651</v>
      </c>
      <c r="Q150" s="22" t="s">
        <v>373</v>
      </c>
      <c r="R150" s="22">
        <v>5</v>
      </c>
      <c r="S150" s="21">
        <v>45</v>
      </c>
      <c r="T150" s="22">
        <v>14</v>
      </c>
      <c r="U150" s="21">
        <v>8000</v>
      </c>
      <c r="V150" s="21">
        <v>14000</v>
      </c>
      <c r="W150" s="21">
        <v>9200</v>
      </c>
      <c r="X150" s="21">
        <v>10900</v>
      </c>
      <c r="Y150" s="94">
        <v>12600</v>
      </c>
      <c r="Z150" s="116">
        <v>14000</v>
      </c>
      <c r="AA150" s="87">
        <v>7331120418</v>
      </c>
      <c r="AB150" s="29">
        <v>1000000000</v>
      </c>
      <c r="AC150" s="29">
        <v>800000000</v>
      </c>
      <c r="AD150" s="21">
        <v>1181989200</v>
      </c>
      <c r="AE150" s="29">
        <f t="shared" si="3"/>
        <v>10313109618</v>
      </c>
      <c r="AF150" s="30" t="s">
        <v>370</v>
      </c>
    </row>
    <row r="151" spans="1:32" ht="96.6" x14ac:dyDescent="0.3">
      <c r="A151" s="148"/>
      <c r="B151" s="159">
        <v>0</v>
      </c>
      <c r="C151" s="148"/>
      <c r="D151" s="160">
        <v>0</v>
      </c>
      <c r="E151" s="75">
        <v>28.948</v>
      </c>
      <c r="F151" s="75">
        <v>10.868</v>
      </c>
      <c r="G151" s="75">
        <v>10.755000000000001</v>
      </c>
      <c r="H151" s="75">
        <f>10.455+8+5+2</f>
        <v>25.454999999999998</v>
      </c>
      <c r="I151" s="75">
        <v>15.256</v>
      </c>
      <c r="J151" s="73">
        <v>52020110003</v>
      </c>
      <c r="K151" s="30" t="s">
        <v>1448</v>
      </c>
      <c r="L151" s="30" t="s">
        <v>1449</v>
      </c>
      <c r="M151" s="22" t="s">
        <v>144</v>
      </c>
      <c r="N151" s="22" t="s">
        <v>374</v>
      </c>
      <c r="O151" s="73" t="s">
        <v>558</v>
      </c>
      <c r="P151" s="22" t="s">
        <v>652</v>
      </c>
      <c r="Q151" s="22" t="s">
        <v>373</v>
      </c>
      <c r="R151" s="22">
        <v>5</v>
      </c>
      <c r="S151" s="21">
        <v>41</v>
      </c>
      <c r="T151" s="22">
        <v>14</v>
      </c>
      <c r="U151" s="21">
        <v>100</v>
      </c>
      <c r="V151" s="21">
        <v>100</v>
      </c>
      <c r="W151" s="21">
        <v>100</v>
      </c>
      <c r="X151" s="21">
        <v>100</v>
      </c>
      <c r="Y151" s="94">
        <v>100</v>
      </c>
      <c r="Z151" s="116">
        <v>100</v>
      </c>
      <c r="AA151" s="87">
        <v>769600500</v>
      </c>
      <c r="AB151" s="29">
        <v>2282852316</v>
      </c>
      <c r="AC151" s="29">
        <v>2715649166</v>
      </c>
      <c r="AD151" s="29">
        <v>3304994386</v>
      </c>
      <c r="AE151" s="29">
        <f t="shared" si="3"/>
        <v>9073096368</v>
      </c>
      <c r="AF151" s="30" t="s">
        <v>370</v>
      </c>
    </row>
    <row r="152" spans="1:32" ht="55.2" x14ac:dyDescent="0.3">
      <c r="A152" s="148"/>
      <c r="B152" s="159">
        <v>0</v>
      </c>
      <c r="C152" s="148"/>
      <c r="D152" s="160">
        <v>0</v>
      </c>
      <c r="E152" s="75">
        <v>25.813999999999997</v>
      </c>
      <c r="F152" s="75">
        <v>20.395</v>
      </c>
      <c r="G152" s="75">
        <v>17.727999999999998</v>
      </c>
      <c r="H152" s="75">
        <f>16.596</f>
        <v>16.596</v>
      </c>
      <c r="I152" s="75">
        <v>20.133000000000003</v>
      </c>
      <c r="J152" s="73">
        <v>52020110004</v>
      </c>
      <c r="K152" s="30" t="s">
        <v>1450</v>
      </c>
      <c r="L152" s="30" t="s">
        <v>1451</v>
      </c>
      <c r="M152" s="22" t="s">
        <v>107</v>
      </c>
      <c r="N152" s="22" t="s">
        <v>373</v>
      </c>
      <c r="O152" s="73" t="s">
        <v>381</v>
      </c>
      <c r="P152" s="22" t="s">
        <v>653</v>
      </c>
      <c r="Q152" s="22" t="s">
        <v>373</v>
      </c>
      <c r="R152" s="22">
        <v>5</v>
      </c>
      <c r="S152" s="21">
        <v>12</v>
      </c>
      <c r="T152" s="22">
        <v>18</v>
      </c>
      <c r="U152" s="21">
        <v>3219</v>
      </c>
      <c r="V152" s="21">
        <v>13219</v>
      </c>
      <c r="W152" s="21">
        <v>3719</v>
      </c>
      <c r="X152" s="21">
        <v>6785</v>
      </c>
      <c r="Y152" s="94">
        <v>10002</v>
      </c>
      <c r="Z152" s="116">
        <v>13219</v>
      </c>
      <c r="AA152" s="87">
        <v>800000000</v>
      </c>
      <c r="AB152" s="29">
        <v>2488710548</v>
      </c>
      <c r="AC152" s="29">
        <v>655405472</v>
      </c>
      <c r="AD152" s="29">
        <v>472785715</v>
      </c>
      <c r="AE152" s="29">
        <f t="shared" si="3"/>
        <v>4416901735</v>
      </c>
      <c r="AF152" s="30" t="s">
        <v>372</v>
      </c>
    </row>
    <row r="153" spans="1:32" ht="69" x14ac:dyDescent="0.3">
      <c r="A153" s="148"/>
      <c r="B153" s="159">
        <v>0</v>
      </c>
      <c r="C153" s="148"/>
      <c r="D153" s="160">
        <v>0</v>
      </c>
      <c r="E153" s="75">
        <v>0</v>
      </c>
      <c r="F153" s="75">
        <v>11.305</v>
      </c>
      <c r="G153" s="75">
        <v>11.346</v>
      </c>
      <c r="H153" s="75">
        <f>11.627+2</f>
        <v>13.627000000000001</v>
      </c>
      <c r="I153" s="75">
        <v>8.57</v>
      </c>
      <c r="J153" s="73">
        <v>52020110005</v>
      </c>
      <c r="K153" s="30" t="s">
        <v>1452</v>
      </c>
      <c r="L153" s="30" t="s">
        <v>1453</v>
      </c>
      <c r="M153" s="22" t="s">
        <v>107</v>
      </c>
      <c r="N153" s="22" t="s">
        <v>373</v>
      </c>
      <c r="O153" s="73" t="s">
        <v>381</v>
      </c>
      <c r="P153" s="22" t="s">
        <v>654</v>
      </c>
      <c r="Q153" s="22" t="s">
        <v>373</v>
      </c>
      <c r="R153" s="22">
        <v>5</v>
      </c>
      <c r="S153" s="21">
        <v>41</v>
      </c>
      <c r="T153" s="22">
        <v>14</v>
      </c>
      <c r="U153" s="21">
        <v>2</v>
      </c>
      <c r="V153" s="21">
        <v>3</v>
      </c>
      <c r="W153" s="21">
        <v>0</v>
      </c>
      <c r="X153" s="21">
        <v>1</v>
      </c>
      <c r="Y153" s="94">
        <v>2</v>
      </c>
      <c r="Z153" s="116">
        <v>3</v>
      </c>
      <c r="AA153" s="87">
        <v>0</v>
      </c>
      <c r="AB153" s="29">
        <v>467075495</v>
      </c>
      <c r="AC153" s="29">
        <v>400000000</v>
      </c>
      <c r="AD153" s="29">
        <v>325853995</v>
      </c>
      <c r="AE153" s="29">
        <f t="shared" si="3"/>
        <v>1192929490</v>
      </c>
      <c r="AF153" s="30" t="s">
        <v>370</v>
      </c>
    </row>
    <row r="154" spans="1:32" ht="41.4" x14ac:dyDescent="0.3">
      <c r="A154" s="161"/>
      <c r="B154" s="165">
        <v>0</v>
      </c>
      <c r="C154" s="161"/>
      <c r="D154" s="162">
        <v>0</v>
      </c>
      <c r="E154" s="42">
        <v>0</v>
      </c>
      <c r="F154" s="42">
        <v>13.958</v>
      </c>
      <c r="G154" s="42">
        <v>13.761000000000001</v>
      </c>
      <c r="H154" s="42">
        <f>13.573+2</f>
        <v>15.573</v>
      </c>
      <c r="I154" s="42">
        <v>10.323</v>
      </c>
      <c r="J154" s="78">
        <v>52020110006</v>
      </c>
      <c r="K154" s="43" t="s">
        <v>1454</v>
      </c>
      <c r="L154" s="43" t="s">
        <v>1455</v>
      </c>
      <c r="M154" s="44" t="s">
        <v>144</v>
      </c>
      <c r="N154" s="44" t="s">
        <v>373</v>
      </c>
      <c r="O154" s="78" t="s">
        <v>381</v>
      </c>
      <c r="P154" s="44" t="s">
        <v>655</v>
      </c>
      <c r="Q154" s="44" t="s">
        <v>374</v>
      </c>
      <c r="R154" s="44">
        <v>5</v>
      </c>
      <c r="S154" s="60">
        <v>41</v>
      </c>
      <c r="T154" s="44">
        <v>14</v>
      </c>
      <c r="U154" s="60">
        <v>0</v>
      </c>
      <c r="V154" s="60">
        <v>1</v>
      </c>
      <c r="W154" s="60">
        <v>0</v>
      </c>
      <c r="X154" s="92">
        <v>0.3</v>
      </c>
      <c r="Y154" s="102">
        <v>0.7</v>
      </c>
      <c r="Z154" s="116">
        <v>1</v>
      </c>
      <c r="AA154" s="115">
        <v>0</v>
      </c>
      <c r="AB154" s="29">
        <v>578653976</v>
      </c>
      <c r="AC154" s="29">
        <v>228607000</v>
      </c>
      <c r="AD154" s="29">
        <v>406099435</v>
      </c>
      <c r="AE154" s="61">
        <f t="shared" si="3"/>
        <v>1213360411</v>
      </c>
      <c r="AF154" s="43" t="s">
        <v>370</v>
      </c>
    </row>
    <row r="155" spans="1:32" x14ac:dyDescent="0.3">
      <c r="A155" s="24"/>
      <c r="B155" s="38"/>
      <c r="C155" s="24"/>
      <c r="D155" s="39"/>
      <c r="E155" s="35"/>
      <c r="F155" s="35"/>
      <c r="G155" s="35"/>
      <c r="H155" s="35"/>
      <c r="I155" s="35"/>
      <c r="J155" s="24"/>
      <c r="K155" s="40"/>
      <c r="L155" s="40"/>
      <c r="M155" s="41"/>
      <c r="N155" s="41"/>
      <c r="O155" s="24"/>
      <c r="P155" s="41"/>
      <c r="Q155" s="41"/>
      <c r="R155" s="41"/>
      <c r="S155" s="52"/>
      <c r="T155" s="41"/>
      <c r="U155" s="52"/>
      <c r="V155" s="52"/>
      <c r="W155" s="52"/>
      <c r="X155" s="52"/>
      <c r="Y155" s="52"/>
      <c r="Z155" s="55"/>
      <c r="AA155" s="52"/>
      <c r="AB155" s="53"/>
      <c r="AC155" s="53"/>
      <c r="AD155" s="29"/>
      <c r="AE155" s="53"/>
      <c r="AF155" s="40"/>
    </row>
    <row r="156" spans="1:32" ht="51" customHeight="1" x14ac:dyDescent="0.3">
      <c r="A156" s="157" t="s">
        <v>1456</v>
      </c>
      <c r="B156" s="163">
        <v>30.908000000000001</v>
      </c>
      <c r="C156" s="157" t="s">
        <v>1457</v>
      </c>
      <c r="D156" s="164">
        <v>7.6970000000000001</v>
      </c>
      <c r="E156" s="34">
        <v>11.901999999999999</v>
      </c>
      <c r="F156" s="34">
        <v>9.6609999999999996</v>
      </c>
      <c r="G156" s="76">
        <f>8.106+0.7</f>
        <v>8.8059999999999992</v>
      </c>
      <c r="H156" s="34">
        <v>8.7520000000000007</v>
      </c>
      <c r="I156" s="34">
        <v>9.6050000000000004</v>
      </c>
      <c r="J156" s="77">
        <v>52030010001</v>
      </c>
      <c r="K156" s="45" t="s">
        <v>1458</v>
      </c>
      <c r="L156" s="45" t="s">
        <v>1459</v>
      </c>
      <c r="M156" s="46" t="s">
        <v>107</v>
      </c>
      <c r="N156" s="46" t="s">
        <v>373</v>
      </c>
      <c r="O156" s="77" t="s">
        <v>381</v>
      </c>
      <c r="P156" s="46" t="s">
        <v>1789</v>
      </c>
      <c r="Q156" s="46" t="s">
        <v>373</v>
      </c>
      <c r="R156" s="46">
        <v>3</v>
      </c>
      <c r="S156" s="50">
        <v>19</v>
      </c>
      <c r="T156" s="46">
        <v>2</v>
      </c>
      <c r="U156" s="50">
        <v>330</v>
      </c>
      <c r="V156" s="50">
        <v>4330</v>
      </c>
      <c r="W156" s="50">
        <v>1330</v>
      </c>
      <c r="X156" s="60">
        <v>2330</v>
      </c>
      <c r="Y156" s="112">
        <v>3330</v>
      </c>
      <c r="Z156" s="116">
        <v>4330</v>
      </c>
      <c r="AA156" s="104">
        <v>3366222817</v>
      </c>
      <c r="AB156" s="61">
        <v>1455639433</v>
      </c>
      <c r="AC156" s="61">
        <v>1481368000</v>
      </c>
      <c r="AD156" s="29">
        <v>2134113161</v>
      </c>
      <c r="AE156" s="51">
        <f t="shared" si="3"/>
        <v>8437343411</v>
      </c>
      <c r="AF156" s="45" t="s">
        <v>356</v>
      </c>
    </row>
    <row r="157" spans="1:32" ht="110.4" x14ac:dyDescent="0.3">
      <c r="A157" s="148"/>
      <c r="B157" s="159">
        <v>0</v>
      </c>
      <c r="C157" s="148"/>
      <c r="D157" s="160">
        <v>0</v>
      </c>
      <c r="E157" s="75">
        <v>11.759</v>
      </c>
      <c r="F157" s="75">
        <v>8.234</v>
      </c>
      <c r="G157" s="74">
        <f>7.47-2-1</f>
        <v>4.47</v>
      </c>
      <c r="H157" s="75">
        <f>8.488-4.5</f>
        <v>3.9879999999999995</v>
      </c>
      <c r="I157" s="75">
        <v>8.9879999999999995</v>
      </c>
      <c r="J157" s="73">
        <v>52030010002</v>
      </c>
      <c r="K157" s="30" t="s">
        <v>1790</v>
      </c>
      <c r="L157" s="30" t="s">
        <v>1460</v>
      </c>
      <c r="M157" s="22" t="s">
        <v>144</v>
      </c>
      <c r="N157" s="22" t="s">
        <v>373</v>
      </c>
      <c r="O157" s="73" t="s">
        <v>381</v>
      </c>
      <c r="P157" s="22" t="s">
        <v>656</v>
      </c>
      <c r="Q157" s="22" t="s">
        <v>373</v>
      </c>
      <c r="R157" s="22">
        <v>3</v>
      </c>
      <c r="S157" s="21">
        <v>19</v>
      </c>
      <c r="T157" s="22">
        <v>2</v>
      </c>
      <c r="U157" s="21">
        <v>0</v>
      </c>
      <c r="V157" s="21">
        <v>13000</v>
      </c>
      <c r="W157" s="21">
        <v>13000</v>
      </c>
      <c r="X157" s="21">
        <v>13000</v>
      </c>
      <c r="Y157" s="94">
        <v>13000</v>
      </c>
      <c r="Z157" s="116">
        <v>13000</v>
      </c>
      <c r="AA157" s="87">
        <v>2344582173</v>
      </c>
      <c r="AB157" s="29">
        <v>458912276</v>
      </c>
      <c r="AC157" s="29">
        <v>351677800</v>
      </c>
      <c r="AD157" s="29">
        <v>350000000</v>
      </c>
      <c r="AE157" s="29">
        <f t="shared" si="3"/>
        <v>3505172249</v>
      </c>
      <c r="AF157" s="30" t="s">
        <v>356</v>
      </c>
    </row>
    <row r="158" spans="1:32" ht="276" x14ac:dyDescent="0.3">
      <c r="A158" s="148"/>
      <c r="B158" s="159">
        <v>0</v>
      </c>
      <c r="C158" s="148"/>
      <c r="D158" s="160">
        <v>0</v>
      </c>
      <c r="E158" s="75">
        <v>3.5740000000000003</v>
      </c>
      <c r="F158" s="75">
        <v>4.6189999999999998</v>
      </c>
      <c r="G158" s="74">
        <f>5.473-1</f>
        <v>4.4729999999999999</v>
      </c>
      <c r="H158" s="75">
        <v>4.2110000000000003</v>
      </c>
      <c r="I158" s="75">
        <v>4.4690000000000003</v>
      </c>
      <c r="J158" s="73">
        <v>52030010003</v>
      </c>
      <c r="K158" s="30" t="s">
        <v>1461</v>
      </c>
      <c r="L158" s="30" t="s">
        <v>1462</v>
      </c>
      <c r="M158" s="22" t="s">
        <v>107</v>
      </c>
      <c r="N158" s="22" t="s">
        <v>373</v>
      </c>
      <c r="O158" s="73" t="s">
        <v>657</v>
      </c>
      <c r="P158" s="22" t="s">
        <v>658</v>
      </c>
      <c r="Q158" s="22" t="s">
        <v>373</v>
      </c>
      <c r="R158" s="22">
        <v>3</v>
      </c>
      <c r="S158" s="21">
        <v>19</v>
      </c>
      <c r="T158" s="22">
        <v>2</v>
      </c>
      <c r="U158" s="21">
        <v>316</v>
      </c>
      <c r="V158" s="21">
        <v>1238</v>
      </c>
      <c r="W158" s="21">
        <v>486</v>
      </c>
      <c r="X158" s="50">
        <v>736</v>
      </c>
      <c r="Y158" s="113">
        <v>987</v>
      </c>
      <c r="Z158" s="116">
        <v>1238</v>
      </c>
      <c r="AA158" s="87">
        <v>609065008</v>
      </c>
      <c r="AB158" s="51">
        <v>568833511</v>
      </c>
      <c r="AC158" s="51">
        <v>432036000</v>
      </c>
      <c r="AD158" s="29">
        <v>495240560</v>
      </c>
      <c r="AE158" s="29">
        <f t="shared" si="3"/>
        <v>2105175079</v>
      </c>
      <c r="AF158" s="30" t="s">
        <v>356</v>
      </c>
    </row>
    <row r="159" spans="1:32" ht="345" x14ac:dyDescent="0.3">
      <c r="A159" s="148"/>
      <c r="B159" s="159">
        <v>0</v>
      </c>
      <c r="C159" s="148"/>
      <c r="D159" s="160">
        <v>0</v>
      </c>
      <c r="E159" s="75">
        <v>5.266</v>
      </c>
      <c r="F159" s="75">
        <v>4.5990000000000002</v>
      </c>
      <c r="G159" s="74">
        <v>5.82</v>
      </c>
      <c r="H159" s="75">
        <f>4.344+1</f>
        <v>5.3440000000000003</v>
      </c>
      <c r="I159" s="75">
        <v>5.0070000000000006</v>
      </c>
      <c r="J159" s="73">
        <v>52030010004</v>
      </c>
      <c r="K159" s="30" t="s">
        <v>1463</v>
      </c>
      <c r="L159" s="30" t="s">
        <v>1464</v>
      </c>
      <c r="M159" s="22" t="s">
        <v>107</v>
      </c>
      <c r="N159" s="22" t="s">
        <v>374</v>
      </c>
      <c r="O159" s="73" t="s">
        <v>659</v>
      </c>
      <c r="P159" s="22" t="s">
        <v>660</v>
      </c>
      <c r="Q159" s="22" t="s">
        <v>373</v>
      </c>
      <c r="R159" s="22">
        <v>3</v>
      </c>
      <c r="S159" s="21">
        <v>19</v>
      </c>
      <c r="T159" s="22">
        <v>2</v>
      </c>
      <c r="U159" s="21">
        <v>30</v>
      </c>
      <c r="V159" s="21">
        <v>100</v>
      </c>
      <c r="W159" s="21">
        <v>30</v>
      </c>
      <c r="X159" s="21">
        <v>50</v>
      </c>
      <c r="Y159" s="94">
        <v>75</v>
      </c>
      <c r="Z159" s="116">
        <v>100</v>
      </c>
      <c r="AA159" s="87">
        <v>897320947</v>
      </c>
      <c r="AB159" s="29">
        <v>551658210</v>
      </c>
      <c r="AC159" s="29">
        <v>575512000</v>
      </c>
      <c r="AD159" s="29">
        <v>656120000</v>
      </c>
      <c r="AE159" s="29">
        <f t="shared" si="3"/>
        <v>2680611157</v>
      </c>
      <c r="AF159" s="30" t="s">
        <v>356</v>
      </c>
    </row>
    <row r="160" spans="1:32" ht="331.2" x14ac:dyDescent="0.3">
      <c r="A160" s="148"/>
      <c r="B160" s="159">
        <v>0</v>
      </c>
      <c r="C160" s="148"/>
      <c r="D160" s="160">
        <v>0</v>
      </c>
      <c r="E160" s="75">
        <v>11.728</v>
      </c>
      <c r="F160" s="75">
        <f>8.738+1.4</f>
        <v>10.138</v>
      </c>
      <c r="G160" s="74">
        <v>8.2370000000000001</v>
      </c>
      <c r="H160" s="75">
        <f>7.035+0.5</f>
        <v>7.5350000000000001</v>
      </c>
      <c r="I160" s="75">
        <v>8.9350000000000005</v>
      </c>
      <c r="J160" s="73">
        <v>52030010005</v>
      </c>
      <c r="K160" s="30" t="s">
        <v>1465</v>
      </c>
      <c r="L160" s="30" t="s">
        <v>1466</v>
      </c>
      <c r="M160" s="22" t="s">
        <v>107</v>
      </c>
      <c r="N160" s="22" t="s">
        <v>373</v>
      </c>
      <c r="O160" s="73" t="s">
        <v>657</v>
      </c>
      <c r="P160" s="22" t="s">
        <v>661</v>
      </c>
      <c r="Q160" s="22" t="s">
        <v>373</v>
      </c>
      <c r="R160" s="22">
        <v>3</v>
      </c>
      <c r="S160" s="21">
        <v>19</v>
      </c>
      <c r="T160" s="22">
        <v>2</v>
      </c>
      <c r="U160" s="21">
        <v>632</v>
      </c>
      <c r="V160" s="21">
        <v>1072</v>
      </c>
      <c r="W160" s="21">
        <v>662</v>
      </c>
      <c r="X160" s="21">
        <v>760</v>
      </c>
      <c r="Y160" s="114">
        <v>903</v>
      </c>
      <c r="Z160" s="116">
        <v>1072</v>
      </c>
      <c r="AA160" s="87">
        <v>1998544844</v>
      </c>
      <c r="AB160" s="29">
        <v>1472194104</v>
      </c>
      <c r="AC160" s="29">
        <v>1317935000</v>
      </c>
      <c r="AD160" s="29">
        <v>1318664822</v>
      </c>
      <c r="AE160" s="29">
        <f t="shared" si="3"/>
        <v>6107338770</v>
      </c>
      <c r="AF160" s="30" t="s">
        <v>356</v>
      </c>
    </row>
    <row r="161" spans="1:32" ht="55.2" x14ac:dyDescent="0.3">
      <c r="A161" s="148"/>
      <c r="B161" s="159">
        <v>0</v>
      </c>
      <c r="C161" s="148"/>
      <c r="D161" s="160">
        <v>0</v>
      </c>
      <c r="E161" s="75">
        <v>7.9769999999999994</v>
      </c>
      <c r="F161" s="75">
        <v>7.6429999999999998</v>
      </c>
      <c r="G161" s="74">
        <v>6.242</v>
      </c>
      <c r="H161" s="75">
        <v>6.734</v>
      </c>
      <c r="I161" s="75">
        <v>7.149</v>
      </c>
      <c r="J161" s="73">
        <v>52030010006</v>
      </c>
      <c r="K161" s="30" t="s">
        <v>1467</v>
      </c>
      <c r="L161" s="30" t="s">
        <v>1468</v>
      </c>
      <c r="M161" s="22" t="s">
        <v>107</v>
      </c>
      <c r="N161" s="22" t="s">
        <v>373</v>
      </c>
      <c r="O161" s="73" t="s">
        <v>381</v>
      </c>
      <c r="P161" s="22" t="s">
        <v>662</v>
      </c>
      <c r="Q161" s="22" t="s">
        <v>373</v>
      </c>
      <c r="R161" s="22">
        <v>3</v>
      </c>
      <c r="S161" s="21">
        <v>19</v>
      </c>
      <c r="T161" s="22">
        <v>2</v>
      </c>
      <c r="U161" s="21">
        <v>1200</v>
      </c>
      <c r="V161" s="21">
        <v>5200</v>
      </c>
      <c r="W161" s="21">
        <v>2200</v>
      </c>
      <c r="X161" s="21">
        <v>3125</v>
      </c>
      <c r="Y161" s="94">
        <v>4200</v>
      </c>
      <c r="Z161" s="116">
        <v>5200</v>
      </c>
      <c r="AA161" s="87">
        <v>1359406239</v>
      </c>
      <c r="AB161" s="29">
        <v>965764191</v>
      </c>
      <c r="AC161" s="29">
        <v>700093000</v>
      </c>
      <c r="AD161" s="29">
        <v>718000000</v>
      </c>
      <c r="AE161" s="29">
        <f t="shared" si="3"/>
        <v>3743263430</v>
      </c>
      <c r="AF161" s="30" t="s">
        <v>356</v>
      </c>
    </row>
    <row r="162" spans="1:32" ht="110.4" x14ac:dyDescent="0.3">
      <c r="A162" s="148"/>
      <c r="B162" s="159">
        <v>0</v>
      </c>
      <c r="C162" s="148"/>
      <c r="D162" s="160">
        <v>0</v>
      </c>
      <c r="E162" s="75">
        <v>10.972999999999999</v>
      </c>
      <c r="F162" s="75">
        <v>10.135</v>
      </c>
      <c r="G162" s="74">
        <f>10.53-6</f>
        <v>4.5299999999999994</v>
      </c>
      <c r="H162" s="75">
        <f>10.145-6</f>
        <v>4.1449999999999996</v>
      </c>
      <c r="I162" s="75">
        <v>10.446</v>
      </c>
      <c r="J162" s="73">
        <v>52030010007</v>
      </c>
      <c r="K162" s="30" t="s">
        <v>1469</v>
      </c>
      <c r="L162" s="30" t="s">
        <v>1470</v>
      </c>
      <c r="M162" s="22" t="s">
        <v>107</v>
      </c>
      <c r="N162" s="22" t="s">
        <v>373</v>
      </c>
      <c r="O162" s="73" t="s">
        <v>381</v>
      </c>
      <c r="P162" s="22" t="s">
        <v>663</v>
      </c>
      <c r="Q162" s="22" t="s">
        <v>373</v>
      </c>
      <c r="R162" s="22">
        <v>3</v>
      </c>
      <c r="S162" s="21">
        <v>19</v>
      </c>
      <c r="T162" s="22">
        <v>2</v>
      </c>
      <c r="U162" s="21">
        <v>24421</v>
      </c>
      <c r="V162" s="21">
        <v>114421</v>
      </c>
      <c r="W162" s="21">
        <v>24421</v>
      </c>
      <c r="X162" s="21">
        <v>54421</v>
      </c>
      <c r="Y162" s="94">
        <v>84421</v>
      </c>
      <c r="Z162" s="116">
        <v>114421</v>
      </c>
      <c r="AA162" s="87">
        <v>2210746668</v>
      </c>
      <c r="AB162" s="29">
        <v>320389424</v>
      </c>
      <c r="AC162" s="29">
        <v>304616000</v>
      </c>
      <c r="AD162" s="29">
        <v>400000000</v>
      </c>
      <c r="AE162" s="29">
        <f t="shared" si="3"/>
        <v>3235752092</v>
      </c>
      <c r="AF162" s="30" t="s">
        <v>356</v>
      </c>
    </row>
    <row r="163" spans="1:32" ht="69" x14ac:dyDescent="0.3">
      <c r="A163" s="148"/>
      <c r="B163" s="159">
        <v>0</v>
      </c>
      <c r="C163" s="148"/>
      <c r="D163" s="160">
        <v>0</v>
      </c>
      <c r="E163" s="75">
        <v>10.96</v>
      </c>
      <c r="F163" s="75">
        <f>9.81+1.18</f>
        <v>10.99</v>
      </c>
      <c r="G163" s="74">
        <v>8.4260000000000002</v>
      </c>
      <c r="H163" s="75">
        <v>8.2809999999999988</v>
      </c>
      <c r="I163" s="75">
        <v>9.3689999999999998</v>
      </c>
      <c r="J163" s="73">
        <v>52030010008</v>
      </c>
      <c r="K163" s="30" t="s">
        <v>1471</v>
      </c>
      <c r="L163" s="30" t="s">
        <v>1472</v>
      </c>
      <c r="M163" s="22" t="s">
        <v>107</v>
      </c>
      <c r="N163" s="22" t="s">
        <v>373</v>
      </c>
      <c r="O163" s="73" t="s">
        <v>381</v>
      </c>
      <c r="P163" s="22" t="s">
        <v>664</v>
      </c>
      <c r="Q163" s="22" t="s">
        <v>373</v>
      </c>
      <c r="R163" s="22">
        <v>3</v>
      </c>
      <c r="S163" s="21">
        <v>19</v>
      </c>
      <c r="T163" s="22">
        <v>2</v>
      </c>
      <c r="U163" s="21">
        <v>150</v>
      </c>
      <c r="V163" s="21">
        <v>170</v>
      </c>
      <c r="W163" s="21">
        <v>155</v>
      </c>
      <c r="X163" s="21">
        <v>160</v>
      </c>
      <c r="Y163" s="94">
        <v>165</v>
      </c>
      <c r="Z163" s="116">
        <v>170</v>
      </c>
      <c r="AA163" s="87">
        <v>7273944095</v>
      </c>
      <c r="AB163" s="29">
        <v>1403565366</v>
      </c>
      <c r="AC163" s="29">
        <v>1570906000</v>
      </c>
      <c r="AD163" s="53">
        <v>2035109818</v>
      </c>
      <c r="AE163" s="29">
        <f t="shared" si="3"/>
        <v>12283525279</v>
      </c>
      <c r="AF163" s="30" t="s">
        <v>356</v>
      </c>
    </row>
    <row r="164" spans="1:32" ht="69" x14ac:dyDescent="0.3">
      <c r="A164" s="148"/>
      <c r="B164" s="159">
        <v>0</v>
      </c>
      <c r="C164" s="148"/>
      <c r="D164" s="160">
        <v>0</v>
      </c>
      <c r="E164" s="75">
        <v>4.96</v>
      </c>
      <c r="F164" s="75">
        <v>3.698</v>
      </c>
      <c r="G164" s="74">
        <f>2.224+1</f>
        <v>3.2240000000000002</v>
      </c>
      <c r="H164" s="75">
        <f>4.51-1</f>
        <v>3.51</v>
      </c>
      <c r="I164" s="75">
        <v>3.8479999999999999</v>
      </c>
      <c r="J164" s="73">
        <v>52030010009</v>
      </c>
      <c r="K164" s="30" t="s">
        <v>1473</v>
      </c>
      <c r="L164" s="30" t="s">
        <v>1474</v>
      </c>
      <c r="M164" s="22" t="s">
        <v>107</v>
      </c>
      <c r="N164" s="22" t="s">
        <v>373</v>
      </c>
      <c r="O164" s="73" t="s">
        <v>381</v>
      </c>
      <c r="P164" s="22" t="s">
        <v>665</v>
      </c>
      <c r="Q164" s="22" t="s">
        <v>373</v>
      </c>
      <c r="R164" s="22">
        <v>3</v>
      </c>
      <c r="S164" s="21">
        <v>19</v>
      </c>
      <c r="T164" s="22">
        <v>2</v>
      </c>
      <c r="U164" s="21">
        <v>0</v>
      </c>
      <c r="V164" s="21">
        <v>4</v>
      </c>
      <c r="W164" s="21">
        <v>1</v>
      </c>
      <c r="X164" s="21">
        <v>2</v>
      </c>
      <c r="Y164" s="94">
        <v>3</v>
      </c>
      <c r="Z164" s="116">
        <v>4</v>
      </c>
      <c r="AA164" s="87">
        <v>504371856</v>
      </c>
      <c r="AB164" s="29">
        <v>480221860</v>
      </c>
      <c r="AC164" s="29">
        <v>268008000</v>
      </c>
      <c r="AD164" s="61">
        <v>150000000</v>
      </c>
      <c r="AE164" s="29">
        <f t="shared" si="3"/>
        <v>1402601716</v>
      </c>
      <c r="AF164" s="30" t="s">
        <v>356</v>
      </c>
    </row>
    <row r="165" spans="1:32" ht="55.2" x14ac:dyDescent="0.3">
      <c r="A165" s="148"/>
      <c r="B165" s="159">
        <v>0</v>
      </c>
      <c r="C165" s="148"/>
      <c r="D165" s="160">
        <v>0</v>
      </c>
      <c r="E165" s="75">
        <v>5.3129999999999997</v>
      </c>
      <c r="F165" s="75">
        <v>3.8809999999999998</v>
      </c>
      <c r="G165" s="74">
        <v>5.141</v>
      </c>
      <c r="H165" s="75">
        <v>5.1849999999999996</v>
      </c>
      <c r="I165" s="75">
        <v>4.88</v>
      </c>
      <c r="J165" s="73">
        <v>52030010010</v>
      </c>
      <c r="K165" s="30" t="s">
        <v>1475</v>
      </c>
      <c r="L165" s="30" t="s">
        <v>1476</v>
      </c>
      <c r="M165" s="22" t="s">
        <v>107</v>
      </c>
      <c r="N165" s="22" t="s">
        <v>373</v>
      </c>
      <c r="O165" s="73" t="s">
        <v>381</v>
      </c>
      <c r="P165" s="22" t="s">
        <v>666</v>
      </c>
      <c r="Q165" s="22" t="s">
        <v>373</v>
      </c>
      <c r="R165" s="22">
        <v>3</v>
      </c>
      <c r="S165" s="21">
        <v>19</v>
      </c>
      <c r="T165" s="22">
        <v>2</v>
      </c>
      <c r="U165" s="21">
        <v>0</v>
      </c>
      <c r="V165" s="21">
        <v>2400</v>
      </c>
      <c r="W165" s="21">
        <v>300</v>
      </c>
      <c r="X165" s="21">
        <v>1000</v>
      </c>
      <c r="Y165" s="94">
        <v>1700</v>
      </c>
      <c r="Z165" s="116">
        <v>2400</v>
      </c>
      <c r="AA165" s="87">
        <v>943591956</v>
      </c>
      <c r="AB165" s="29">
        <v>551985134</v>
      </c>
      <c r="AC165" s="29">
        <v>524814000</v>
      </c>
      <c r="AD165" s="29">
        <v>525000000</v>
      </c>
      <c r="AE165" s="29">
        <f t="shared" si="3"/>
        <v>2545391090</v>
      </c>
      <c r="AF165" s="30" t="s">
        <v>356</v>
      </c>
    </row>
    <row r="166" spans="1:32" ht="55.2" x14ac:dyDescent="0.3">
      <c r="A166" s="148"/>
      <c r="B166" s="159">
        <v>0</v>
      </c>
      <c r="C166" s="148"/>
      <c r="D166" s="160">
        <v>0</v>
      </c>
      <c r="E166" s="75">
        <v>0</v>
      </c>
      <c r="F166" s="75">
        <v>2.4500000000000002</v>
      </c>
      <c r="G166" s="74">
        <f>2.17-2.17</f>
        <v>0</v>
      </c>
      <c r="H166" s="75">
        <f>3.23-3.23</f>
        <v>0</v>
      </c>
      <c r="I166" s="75">
        <v>1.9630000000000001</v>
      </c>
      <c r="J166" s="73">
        <v>52030010011</v>
      </c>
      <c r="K166" s="30" t="s">
        <v>1477</v>
      </c>
      <c r="L166" s="30" t="s">
        <v>1478</v>
      </c>
      <c r="M166" s="22" t="s">
        <v>107</v>
      </c>
      <c r="N166" s="22" t="s">
        <v>374</v>
      </c>
      <c r="O166" s="73" t="s">
        <v>400</v>
      </c>
      <c r="P166" s="22" t="s">
        <v>667</v>
      </c>
      <c r="Q166" s="22" t="s">
        <v>373</v>
      </c>
      <c r="R166" s="22">
        <v>3</v>
      </c>
      <c r="S166" s="21">
        <v>19</v>
      </c>
      <c r="T166" s="22">
        <v>2</v>
      </c>
      <c r="U166" s="21">
        <v>0</v>
      </c>
      <c r="V166" s="21">
        <v>100</v>
      </c>
      <c r="W166" s="21">
        <v>0</v>
      </c>
      <c r="X166" s="21">
        <v>30</v>
      </c>
      <c r="Y166" s="94">
        <v>0</v>
      </c>
      <c r="Z166" s="116">
        <v>0</v>
      </c>
      <c r="AA166" s="87">
        <v>0</v>
      </c>
      <c r="AB166" s="29">
        <v>70000000</v>
      </c>
      <c r="AC166" s="29">
        <v>0</v>
      </c>
      <c r="AD166" s="51">
        <v>0</v>
      </c>
      <c r="AE166" s="29">
        <f t="shared" si="3"/>
        <v>70000000</v>
      </c>
      <c r="AF166" s="30" t="s">
        <v>356</v>
      </c>
    </row>
    <row r="167" spans="1:32" ht="82.8" x14ac:dyDescent="0.3">
      <c r="A167" s="148"/>
      <c r="B167" s="159">
        <v>0</v>
      </c>
      <c r="C167" s="148"/>
      <c r="D167" s="160">
        <v>0</v>
      </c>
      <c r="E167" s="75">
        <v>0</v>
      </c>
      <c r="F167" s="75">
        <f>3.58-1-1.4-1.18</f>
        <v>0</v>
      </c>
      <c r="G167" s="74">
        <f>9.777-6-1</f>
        <v>2.7769999999999992</v>
      </c>
      <c r="H167" s="75">
        <f>4.283-1</f>
        <v>3.2830000000000004</v>
      </c>
      <c r="I167" s="75">
        <v>4.41</v>
      </c>
      <c r="J167" s="73">
        <v>52030010012</v>
      </c>
      <c r="K167" s="30" t="s">
        <v>1479</v>
      </c>
      <c r="L167" s="30" t="s">
        <v>1480</v>
      </c>
      <c r="M167" s="22" t="s">
        <v>107</v>
      </c>
      <c r="N167" s="22" t="s">
        <v>374</v>
      </c>
      <c r="O167" s="73" t="s">
        <v>668</v>
      </c>
      <c r="P167" s="22" t="s">
        <v>669</v>
      </c>
      <c r="Q167" s="22" t="s">
        <v>373</v>
      </c>
      <c r="R167" s="22">
        <v>3</v>
      </c>
      <c r="S167" s="21">
        <v>19</v>
      </c>
      <c r="T167" s="22">
        <v>2</v>
      </c>
      <c r="U167" s="21">
        <v>0</v>
      </c>
      <c r="V167" s="21">
        <v>100</v>
      </c>
      <c r="W167" s="21">
        <v>0</v>
      </c>
      <c r="X167" s="21">
        <v>0</v>
      </c>
      <c r="Y167" s="94">
        <v>15</v>
      </c>
      <c r="Z167" s="116">
        <v>100</v>
      </c>
      <c r="AA167" s="87">
        <v>0</v>
      </c>
      <c r="AB167" s="29">
        <v>0</v>
      </c>
      <c r="AC167" s="29">
        <v>100000000</v>
      </c>
      <c r="AD167" s="29">
        <v>100000000</v>
      </c>
      <c r="AE167" s="29">
        <f t="shared" si="3"/>
        <v>200000000</v>
      </c>
      <c r="AF167" s="30" t="s">
        <v>356</v>
      </c>
    </row>
    <row r="168" spans="1:32" ht="55.2" x14ac:dyDescent="0.3">
      <c r="A168" s="148"/>
      <c r="B168" s="159">
        <v>0</v>
      </c>
      <c r="C168" s="148"/>
      <c r="D168" s="160">
        <v>0</v>
      </c>
      <c r="E168" s="75">
        <v>11.173</v>
      </c>
      <c r="F168" s="75">
        <v>8.8440000000000012</v>
      </c>
      <c r="G168" s="74">
        <f>9.5-0.7</f>
        <v>8.8000000000000007</v>
      </c>
      <c r="H168" s="75">
        <f>8.042-0.5</f>
        <v>7.5419999999999998</v>
      </c>
      <c r="I168" s="75">
        <v>9.39</v>
      </c>
      <c r="J168" s="73">
        <v>52030010013</v>
      </c>
      <c r="K168" s="30" t="s">
        <v>1481</v>
      </c>
      <c r="L168" s="30" t="s">
        <v>1482</v>
      </c>
      <c r="M168" s="22" t="s">
        <v>107</v>
      </c>
      <c r="N168" s="22" t="s">
        <v>373</v>
      </c>
      <c r="O168" s="73" t="s">
        <v>381</v>
      </c>
      <c r="P168" s="22" t="s">
        <v>670</v>
      </c>
      <c r="Q168" s="22" t="s">
        <v>373</v>
      </c>
      <c r="R168" s="22">
        <v>3</v>
      </c>
      <c r="S168" s="21">
        <v>19</v>
      </c>
      <c r="T168" s="22">
        <v>2</v>
      </c>
      <c r="U168" s="21">
        <v>6700</v>
      </c>
      <c r="V168" s="21">
        <v>14700</v>
      </c>
      <c r="W168" s="21">
        <v>8700</v>
      </c>
      <c r="X168" s="21">
        <v>10700</v>
      </c>
      <c r="Y168" s="94">
        <v>12700</v>
      </c>
      <c r="Z168" s="116">
        <v>14700</v>
      </c>
      <c r="AA168" s="87">
        <v>1903989077</v>
      </c>
      <c r="AB168" s="29">
        <v>1872289848</v>
      </c>
      <c r="AC168" s="29">
        <v>1395943600</v>
      </c>
      <c r="AD168" s="29">
        <v>1314556900</v>
      </c>
      <c r="AE168" s="29">
        <f t="shared" si="3"/>
        <v>6486779425</v>
      </c>
      <c r="AF168" s="30" t="s">
        <v>356</v>
      </c>
    </row>
    <row r="169" spans="1:32" ht="248.4" x14ac:dyDescent="0.3">
      <c r="A169" s="148"/>
      <c r="B169" s="159">
        <v>0</v>
      </c>
      <c r="C169" s="148"/>
      <c r="D169" s="160">
        <v>0</v>
      </c>
      <c r="E169" s="75">
        <v>0</v>
      </c>
      <c r="F169" s="75">
        <v>3.2969999999999997</v>
      </c>
      <c r="G169" s="74">
        <f>4.67+6+2.17+6+1</f>
        <v>19.84</v>
      </c>
      <c r="H169" s="75">
        <f>6.85+3.23+1+1+4.5+6</f>
        <v>22.58</v>
      </c>
      <c r="I169" s="75">
        <v>3.7039999999999997</v>
      </c>
      <c r="J169" s="73">
        <v>52030010014</v>
      </c>
      <c r="K169" s="30" t="s">
        <v>1483</v>
      </c>
      <c r="L169" s="30" t="s">
        <v>1484</v>
      </c>
      <c r="M169" s="22" t="s">
        <v>107</v>
      </c>
      <c r="N169" s="22" t="s">
        <v>374</v>
      </c>
      <c r="O169" s="73" t="s">
        <v>671</v>
      </c>
      <c r="P169" s="22" t="s">
        <v>672</v>
      </c>
      <c r="Q169" s="22" t="s">
        <v>373</v>
      </c>
      <c r="R169" s="22">
        <v>3</v>
      </c>
      <c r="S169" s="21">
        <v>19</v>
      </c>
      <c r="T169" s="22">
        <v>2</v>
      </c>
      <c r="U169" s="21">
        <v>0</v>
      </c>
      <c r="V169" s="21">
        <v>100</v>
      </c>
      <c r="W169" s="21">
        <v>0</v>
      </c>
      <c r="X169" s="21">
        <v>9</v>
      </c>
      <c r="Y169" s="94">
        <v>24</v>
      </c>
      <c r="Z169" s="116">
        <v>100</v>
      </c>
      <c r="AA169" s="87">
        <v>0</v>
      </c>
      <c r="AB169" s="29">
        <v>304000000</v>
      </c>
      <c r="AC169" s="29">
        <v>4862651853.75</v>
      </c>
      <c r="AD169" s="29">
        <v>27683783988</v>
      </c>
      <c r="AE169" s="29">
        <f t="shared" si="3"/>
        <v>32850435841.75</v>
      </c>
      <c r="AF169" s="30" t="s">
        <v>356</v>
      </c>
    </row>
    <row r="170" spans="1:32" ht="82.8" x14ac:dyDescent="0.3">
      <c r="A170" s="148"/>
      <c r="B170" s="159">
        <v>0</v>
      </c>
      <c r="C170" s="148"/>
      <c r="D170" s="160">
        <v>0</v>
      </c>
      <c r="E170" s="75">
        <v>4.415</v>
      </c>
      <c r="F170" s="75">
        <f>3.855+1</f>
        <v>4.8550000000000004</v>
      </c>
      <c r="G170" s="74">
        <f>3.185+2</f>
        <v>5.1850000000000005</v>
      </c>
      <c r="H170" s="75">
        <f>5.465-1</f>
        <v>4.4649999999999999</v>
      </c>
      <c r="I170" s="75">
        <v>4.2299999999999995</v>
      </c>
      <c r="J170" s="73">
        <v>52030010015</v>
      </c>
      <c r="K170" s="30" t="s">
        <v>1791</v>
      </c>
      <c r="L170" s="30" t="s">
        <v>1485</v>
      </c>
      <c r="M170" s="22" t="s">
        <v>107</v>
      </c>
      <c r="N170" s="22" t="s">
        <v>373</v>
      </c>
      <c r="O170" s="73" t="s">
        <v>381</v>
      </c>
      <c r="P170" s="22" t="s">
        <v>673</v>
      </c>
      <c r="Q170" s="22" t="s">
        <v>373</v>
      </c>
      <c r="R170" s="22">
        <v>3</v>
      </c>
      <c r="S170" s="21">
        <v>19</v>
      </c>
      <c r="T170" s="22">
        <v>2</v>
      </c>
      <c r="U170" s="21">
        <v>1</v>
      </c>
      <c r="V170" s="21">
        <v>17</v>
      </c>
      <c r="W170" s="21">
        <v>1</v>
      </c>
      <c r="X170" s="21">
        <v>6</v>
      </c>
      <c r="Y170" s="94">
        <v>12</v>
      </c>
      <c r="Z170" s="116">
        <v>17</v>
      </c>
      <c r="AA170" s="87">
        <v>752309219</v>
      </c>
      <c r="AB170" s="29">
        <v>679725349</v>
      </c>
      <c r="AC170" s="29">
        <v>520893000</v>
      </c>
      <c r="AD170" s="29">
        <v>522000000</v>
      </c>
      <c r="AE170" s="29">
        <f t="shared" si="3"/>
        <v>2474927568</v>
      </c>
      <c r="AF170" s="30" t="s">
        <v>356</v>
      </c>
    </row>
    <row r="171" spans="1:32" ht="27.6" x14ac:dyDescent="0.3">
      <c r="A171" s="148"/>
      <c r="B171" s="159">
        <v>0</v>
      </c>
      <c r="C171" s="148"/>
      <c r="D171" s="160">
        <v>0</v>
      </c>
      <c r="E171" s="75">
        <v>0</v>
      </c>
      <c r="F171" s="75">
        <v>3.3090000000000002</v>
      </c>
      <c r="G171" s="74">
        <v>0</v>
      </c>
      <c r="H171" s="75">
        <v>0</v>
      </c>
      <c r="I171" s="75">
        <v>0.82699999999999996</v>
      </c>
      <c r="J171" s="73">
        <v>52030010016</v>
      </c>
      <c r="K171" s="30" t="s">
        <v>1486</v>
      </c>
      <c r="L171" s="30" t="s">
        <v>1487</v>
      </c>
      <c r="M171" s="22" t="s">
        <v>107</v>
      </c>
      <c r="N171" s="22" t="s">
        <v>373</v>
      </c>
      <c r="O171" s="73" t="s">
        <v>381</v>
      </c>
      <c r="P171" s="22" t="s">
        <v>674</v>
      </c>
      <c r="Q171" s="22" t="s">
        <v>373</v>
      </c>
      <c r="R171" s="22">
        <v>3</v>
      </c>
      <c r="S171" s="21">
        <v>19</v>
      </c>
      <c r="T171" s="22">
        <v>2</v>
      </c>
      <c r="U171" s="21">
        <v>0</v>
      </c>
      <c r="V171" s="21">
        <v>1</v>
      </c>
      <c r="W171" s="21">
        <v>0</v>
      </c>
      <c r="X171" s="21">
        <v>1</v>
      </c>
      <c r="Y171" s="94">
        <v>0</v>
      </c>
      <c r="Z171" s="116">
        <v>0</v>
      </c>
      <c r="AA171" s="87">
        <v>0</v>
      </c>
      <c r="AB171" s="29">
        <v>50000000</v>
      </c>
      <c r="AC171" s="29">
        <v>0</v>
      </c>
      <c r="AD171" s="29">
        <v>0</v>
      </c>
      <c r="AE171" s="29">
        <f t="shared" si="3"/>
        <v>50000000</v>
      </c>
      <c r="AF171" s="30" t="s">
        <v>356</v>
      </c>
    </row>
    <row r="172" spans="1:32" ht="82.8" x14ac:dyDescent="0.3">
      <c r="A172" s="148"/>
      <c r="B172" s="159">
        <v>0</v>
      </c>
      <c r="C172" s="148"/>
      <c r="D172" s="160">
        <v>0</v>
      </c>
      <c r="E172" s="75">
        <v>0</v>
      </c>
      <c r="F172" s="75">
        <v>3.6470000000000002</v>
      </c>
      <c r="G172" s="74">
        <f>3.029+1</f>
        <v>4.0289999999999999</v>
      </c>
      <c r="H172" s="75">
        <v>4.4450000000000003</v>
      </c>
      <c r="I172" s="75">
        <v>2.78</v>
      </c>
      <c r="J172" s="73">
        <v>52030010017</v>
      </c>
      <c r="K172" s="30" t="s">
        <v>1792</v>
      </c>
      <c r="L172" s="30" t="s">
        <v>1488</v>
      </c>
      <c r="M172" s="22" t="s">
        <v>107</v>
      </c>
      <c r="N172" s="22" t="s">
        <v>374</v>
      </c>
      <c r="O172" s="73" t="s">
        <v>675</v>
      </c>
      <c r="P172" s="22" t="s">
        <v>676</v>
      </c>
      <c r="Q172" s="22" t="s">
        <v>373</v>
      </c>
      <c r="R172" s="22">
        <v>3</v>
      </c>
      <c r="S172" s="21">
        <v>19</v>
      </c>
      <c r="T172" s="22">
        <v>2</v>
      </c>
      <c r="U172" s="21">
        <v>0</v>
      </c>
      <c r="V172" s="21">
        <v>100</v>
      </c>
      <c r="W172" s="21">
        <v>0</v>
      </c>
      <c r="X172" s="21">
        <v>50</v>
      </c>
      <c r="Y172" s="94">
        <v>75</v>
      </c>
      <c r="Z172" s="116">
        <v>100</v>
      </c>
      <c r="AA172" s="87">
        <v>0</v>
      </c>
      <c r="AB172" s="29">
        <v>400149072</v>
      </c>
      <c r="AC172" s="29">
        <v>411621000</v>
      </c>
      <c r="AD172" s="29">
        <v>442214950</v>
      </c>
      <c r="AE172" s="29">
        <f t="shared" si="3"/>
        <v>1253985022</v>
      </c>
      <c r="AF172" s="30" t="s">
        <v>356</v>
      </c>
    </row>
    <row r="173" spans="1:32" ht="89.25" customHeight="1" x14ac:dyDescent="0.3">
      <c r="A173" s="148"/>
      <c r="B173" s="159">
        <v>0</v>
      </c>
      <c r="C173" s="148" t="s">
        <v>1489</v>
      </c>
      <c r="D173" s="160">
        <v>22.486999999999998</v>
      </c>
      <c r="E173" s="75">
        <v>41.374000000000002</v>
      </c>
      <c r="F173" s="75">
        <v>37.460999999999999</v>
      </c>
      <c r="G173" s="75">
        <v>37.175999999999995</v>
      </c>
      <c r="H173" s="75">
        <f>37.745+5+7</f>
        <v>49.744999999999997</v>
      </c>
      <c r="I173" s="75">
        <v>38.439</v>
      </c>
      <c r="J173" s="73">
        <v>52030020001</v>
      </c>
      <c r="K173" s="30" t="s">
        <v>1490</v>
      </c>
      <c r="L173" s="30" t="s">
        <v>1491</v>
      </c>
      <c r="M173" s="22" t="s">
        <v>107</v>
      </c>
      <c r="N173" s="22" t="s">
        <v>374</v>
      </c>
      <c r="O173" s="73" t="s">
        <v>675</v>
      </c>
      <c r="P173" s="22" t="s">
        <v>677</v>
      </c>
      <c r="Q173" s="22" t="s">
        <v>373</v>
      </c>
      <c r="R173" s="22">
        <v>3</v>
      </c>
      <c r="S173" s="21">
        <v>19</v>
      </c>
      <c r="T173" s="22">
        <v>2</v>
      </c>
      <c r="U173" s="21">
        <v>64</v>
      </c>
      <c r="V173" s="21">
        <v>80</v>
      </c>
      <c r="W173" s="21">
        <v>65</v>
      </c>
      <c r="X173" s="21">
        <v>70</v>
      </c>
      <c r="Y173" s="94">
        <v>75</v>
      </c>
      <c r="Z173" s="116">
        <v>80</v>
      </c>
      <c r="AA173" s="87">
        <v>757748847617</v>
      </c>
      <c r="AB173" s="29">
        <v>777846020609</v>
      </c>
      <c r="AC173" s="29">
        <v>913569215000</v>
      </c>
      <c r="AD173" s="29">
        <v>1083426340968</v>
      </c>
      <c r="AE173" s="29">
        <f t="shared" si="3"/>
        <v>3532590424194</v>
      </c>
      <c r="AF173" s="30" t="s">
        <v>356</v>
      </c>
    </row>
    <row r="174" spans="1:32" ht="82.8" x14ac:dyDescent="0.3">
      <c r="A174" s="148"/>
      <c r="B174" s="159">
        <v>0</v>
      </c>
      <c r="C174" s="148"/>
      <c r="D174" s="160">
        <v>0</v>
      </c>
      <c r="E174" s="75">
        <v>14.899999999999999</v>
      </c>
      <c r="F174" s="75">
        <v>12.884</v>
      </c>
      <c r="G174" s="75">
        <v>12.833</v>
      </c>
      <c r="H174" s="75">
        <f>12.769-7</f>
        <v>5.7690000000000001</v>
      </c>
      <c r="I174" s="75">
        <v>13.346</v>
      </c>
      <c r="J174" s="73">
        <v>52030020002</v>
      </c>
      <c r="K174" s="30" t="s">
        <v>1492</v>
      </c>
      <c r="L174" s="30" t="s">
        <v>1493</v>
      </c>
      <c r="M174" s="22" t="s">
        <v>144</v>
      </c>
      <c r="N174" s="22" t="s">
        <v>374</v>
      </c>
      <c r="O174" s="73" t="s">
        <v>675</v>
      </c>
      <c r="P174" s="22" t="s">
        <v>1793</v>
      </c>
      <c r="Q174" s="22" t="s">
        <v>373</v>
      </c>
      <c r="R174" s="22">
        <v>3</v>
      </c>
      <c r="S174" s="21">
        <v>19</v>
      </c>
      <c r="T174" s="22">
        <v>2</v>
      </c>
      <c r="U174" s="21">
        <v>70</v>
      </c>
      <c r="V174" s="21">
        <v>75</v>
      </c>
      <c r="W174" s="21">
        <v>75</v>
      </c>
      <c r="X174" s="21">
        <v>75</v>
      </c>
      <c r="Y174" s="94">
        <v>75</v>
      </c>
      <c r="Z174" s="116">
        <v>75</v>
      </c>
      <c r="AA174" s="87">
        <v>7001191125</v>
      </c>
      <c r="AB174" s="29">
        <v>4259030272</v>
      </c>
      <c r="AC174" s="29">
        <v>772957000</v>
      </c>
      <c r="AD174" s="29">
        <v>217350000</v>
      </c>
      <c r="AE174" s="29">
        <f t="shared" si="3"/>
        <v>12250528397</v>
      </c>
      <c r="AF174" s="30" t="s">
        <v>356</v>
      </c>
    </row>
    <row r="175" spans="1:32" ht="55.2" x14ac:dyDescent="0.3">
      <c r="A175" s="148"/>
      <c r="B175" s="159">
        <v>0</v>
      </c>
      <c r="C175" s="148"/>
      <c r="D175" s="160">
        <v>0</v>
      </c>
      <c r="E175" s="75">
        <v>0</v>
      </c>
      <c r="F175" s="75">
        <v>12.098000000000001</v>
      </c>
      <c r="G175" s="75">
        <v>12.09</v>
      </c>
      <c r="H175" s="75">
        <f>12.086-1.5</f>
        <v>10.586</v>
      </c>
      <c r="I175" s="75">
        <v>9.0690000000000008</v>
      </c>
      <c r="J175" s="73">
        <v>52030020003</v>
      </c>
      <c r="K175" s="30" t="s">
        <v>1494</v>
      </c>
      <c r="L175" s="30" t="s">
        <v>1495</v>
      </c>
      <c r="M175" s="22" t="s">
        <v>107</v>
      </c>
      <c r="N175" s="22" t="s">
        <v>374</v>
      </c>
      <c r="O175" s="73" t="s">
        <v>675</v>
      </c>
      <c r="P175" s="22" t="s">
        <v>1794</v>
      </c>
      <c r="Q175" s="22" t="s">
        <v>373</v>
      </c>
      <c r="R175" s="22">
        <v>3</v>
      </c>
      <c r="S175" s="21">
        <v>19</v>
      </c>
      <c r="T175" s="22">
        <v>2</v>
      </c>
      <c r="U175" s="21">
        <v>69</v>
      </c>
      <c r="V175" s="21">
        <v>70</v>
      </c>
      <c r="W175" s="21">
        <v>0</v>
      </c>
      <c r="X175" s="21">
        <v>70</v>
      </c>
      <c r="Y175" s="94">
        <v>70</v>
      </c>
      <c r="Z175" s="116">
        <v>70</v>
      </c>
      <c r="AA175" s="87">
        <v>0</v>
      </c>
      <c r="AB175" s="29">
        <v>1525099159</v>
      </c>
      <c r="AC175" s="29">
        <v>1450018000</v>
      </c>
      <c r="AD175" s="29">
        <v>2900000000</v>
      </c>
      <c r="AE175" s="29">
        <f t="shared" si="3"/>
        <v>5875117159</v>
      </c>
      <c r="AF175" s="30" t="s">
        <v>356</v>
      </c>
    </row>
    <row r="176" spans="1:32" ht="96.6" x14ac:dyDescent="0.3">
      <c r="A176" s="148"/>
      <c r="B176" s="159">
        <v>0</v>
      </c>
      <c r="C176" s="148"/>
      <c r="D176" s="160">
        <v>0</v>
      </c>
      <c r="E176" s="75">
        <v>14.055999999999999</v>
      </c>
      <c r="F176" s="75">
        <v>12.099</v>
      </c>
      <c r="G176" s="75">
        <v>12.092000000000001</v>
      </c>
      <c r="H176" s="75">
        <v>12.078999999999999</v>
      </c>
      <c r="I176" s="75">
        <v>12.581999999999999</v>
      </c>
      <c r="J176" s="73">
        <v>52030020004</v>
      </c>
      <c r="K176" s="30" t="s">
        <v>1496</v>
      </c>
      <c r="L176" s="30" t="s">
        <v>1497</v>
      </c>
      <c r="M176" s="22" t="s">
        <v>107</v>
      </c>
      <c r="N176" s="22" t="s">
        <v>374</v>
      </c>
      <c r="O176" s="73" t="s">
        <v>675</v>
      </c>
      <c r="P176" s="22" t="s">
        <v>1795</v>
      </c>
      <c r="Q176" s="22" t="s">
        <v>373</v>
      </c>
      <c r="R176" s="22">
        <v>3</v>
      </c>
      <c r="S176" s="21">
        <v>19</v>
      </c>
      <c r="T176" s="22">
        <v>2</v>
      </c>
      <c r="U176" s="21">
        <v>86</v>
      </c>
      <c r="V176" s="21">
        <v>90</v>
      </c>
      <c r="W176" s="21">
        <v>87</v>
      </c>
      <c r="X176" s="21">
        <v>88</v>
      </c>
      <c r="Y176" s="94">
        <v>89</v>
      </c>
      <c r="Z176" s="116">
        <v>90</v>
      </c>
      <c r="AA176" s="87">
        <v>433869479</v>
      </c>
      <c r="AB176" s="29">
        <v>900000000</v>
      </c>
      <c r="AC176" s="29">
        <v>4232013000</v>
      </c>
      <c r="AD176" s="29">
        <v>3467296754</v>
      </c>
      <c r="AE176" s="29">
        <f t="shared" si="3"/>
        <v>9033179233</v>
      </c>
      <c r="AF176" s="30" t="s">
        <v>356</v>
      </c>
    </row>
    <row r="177" spans="1:32" ht="82.8" x14ac:dyDescent="0.3">
      <c r="A177" s="148"/>
      <c r="B177" s="159">
        <v>0</v>
      </c>
      <c r="C177" s="148"/>
      <c r="D177" s="160">
        <v>0</v>
      </c>
      <c r="E177" s="75">
        <v>15.412999999999998</v>
      </c>
      <c r="F177" s="75">
        <v>13.116</v>
      </c>
      <c r="G177" s="75">
        <v>13.48</v>
      </c>
      <c r="H177" s="75">
        <f>13.043+1.5</f>
        <v>14.542999999999999</v>
      </c>
      <c r="I177" s="75">
        <v>13.763</v>
      </c>
      <c r="J177" s="73">
        <v>52030020005</v>
      </c>
      <c r="K177" s="30" t="s">
        <v>1498</v>
      </c>
      <c r="L177" s="30" t="s">
        <v>1499</v>
      </c>
      <c r="M177" s="22" t="s">
        <v>144</v>
      </c>
      <c r="N177" s="22" t="s">
        <v>374</v>
      </c>
      <c r="O177" s="73" t="s">
        <v>675</v>
      </c>
      <c r="P177" s="22" t="s">
        <v>1796</v>
      </c>
      <c r="Q177" s="22" t="s">
        <v>373</v>
      </c>
      <c r="R177" s="22">
        <v>3</v>
      </c>
      <c r="S177" s="21">
        <v>45</v>
      </c>
      <c r="T177" s="22">
        <v>17</v>
      </c>
      <c r="U177" s="21">
        <v>42</v>
      </c>
      <c r="V177" s="21">
        <v>60</v>
      </c>
      <c r="W177" s="21">
        <v>60</v>
      </c>
      <c r="X177" s="21">
        <v>60</v>
      </c>
      <c r="Y177" s="94">
        <v>60</v>
      </c>
      <c r="Z177" s="116">
        <v>60</v>
      </c>
      <c r="AA177" s="87">
        <v>10993530402</v>
      </c>
      <c r="AB177" s="29">
        <v>11409262550</v>
      </c>
      <c r="AC177" s="29">
        <v>11901190800</v>
      </c>
      <c r="AD177" s="29">
        <v>10243408890</v>
      </c>
      <c r="AE177" s="29">
        <f t="shared" si="3"/>
        <v>44547392642</v>
      </c>
      <c r="AF177" s="30" t="s">
        <v>356</v>
      </c>
    </row>
    <row r="178" spans="1:32" ht="82.8" x14ac:dyDescent="0.3">
      <c r="A178" s="148"/>
      <c r="B178" s="159">
        <v>0</v>
      </c>
      <c r="C178" s="148"/>
      <c r="D178" s="160">
        <v>0</v>
      </c>
      <c r="E178" s="75">
        <v>14.257</v>
      </c>
      <c r="F178" s="75">
        <v>12.342000000000001</v>
      </c>
      <c r="G178" s="75">
        <v>12.328999999999999</v>
      </c>
      <c r="H178" s="75">
        <f>12.278-5</f>
        <v>7.2780000000000005</v>
      </c>
      <c r="I178" s="75">
        <v>12.801000000000002</v>
      </c>
      <c r="J178" s="73">
        <v>52030020006</v>
      </c>
      <c r="K178" s="30" t="s">
        <v>1500</v>
      </c>
      <c r="L178" s="30" t="s">
        <v>1501</v>
      </c>
      <c r="M178" s="22" t="s">
        <v>144</v>
      </c>
      <c r="N178" s="22" t="s">
        <v>374</v>
      </c>
      <c r="O178" s="73" t="s">
        <v>675</v>
      </c>
      <c r="P178" s="22" t="s">
        <v>1797</v>
      </c>
      <c r="Q178" s="22" t="s">
        <v>373</v>
      </c>
      <c r="R178" s="22">
        <v>3</v>
      </c>
      <c r="S178" s="21">
        <v>19</v>
      </c>
      <c r="T178" s="22">
        <v>2</v>
      </c>
      <c r="U178" s="21">
        <v>80</v>
      </c>
      <c r="V178" s="21">
        <v>80</v>
      </c>
      <c r="W178" s="21">
        <v>80</v>
      </c>
      <c r="X178" s="21">
        <v>80</v>
      </c>
      <c r="Y178" s="94">
        <v>80</v>
      </c>
      <c r="Z178" s="116">
        <v>80</v>
      </c>
      <c r="AA178" s="87">
        <v>2000045043</v>
      </c>
      <c r="AB178" s="29">
        <v>488784697</v>
      </c>
      <c r="AC178" s="29">
        <v>464722000</v>
      </c>
      <c r="AD178" s="29">
        <v>700000000</v>
      </c>
      <c r="AE178" s="29">
        <f t="shared" si="3"/>
        <v>3653551740</v>
      </c>
      <c r="AF178" s="30" t="s">
        <v>356</v>
      </c>
    </row>
    <row r="179" spans="1:32" ht="82.8" x14ac:dyDescent="0.3">
      <c r="A179" s="148"/>
      <c r="B179" s="159">
        <v>0</v>
      </c>
      <c r="C179" s="148" t="s">
        <v>1502</v>
      </c>
      <c r="D179" s="160">
        <v>7.1559999999999997</v>
      </c>
      <c r="E179" s="75">
        <v>16.991999999999997</v>
      </c>
      <c r="F179" s="75">
        <v>14.674999999999999</v>
      </c>
      <c r="G179" s="75">
        <f>15.345-1-3-1</f>
        <v>10.345000000000001</v>
      </c>
      <c r="H179" s="75">
        <f>19.855-4</f>
        <v>15.855</v>
      </c>
      <c r="I179" s="75">
        <v>16.717000000000002</v>
      </c>
      <c r="J179" s="73">
        <v>52030030001</v>
      </c>
      <c r="K179" s="30" t="s">
        <v>1503</v>
      </c>
      <c r="L179" s="30" t="s">
        <v>1504</v>
      </c>
      <c r="M179" s="22" t="s">
        <v>107</v>
      </c>
      <c r="N179" s="22" t="s">
        <v>373</v>
      </c>
      <c r="O179" s="73" t="s">
        <v>381</v>
      </c>
      <c r="P179" s="22" t="s">
        <v>678</v>
      </c>
      <c r="Q179" s="22" t="s">
        <v>373</v>
      </c>
      <c r="R179" s="22">
        <v>3</v>
      </c>
      <c r="S179" s="21">
        <v>19</v>
      </c>
      <c r="T179" s="22">
        <v>2</v>
      </c>
      <c r="U179" s="21">
        <v>0</v>
      </c>
      <c r="V179" s="21">
        <v>40</v>
      </c>
      <c r="W179" s="21">
        <v>10</v>
      </c>
      <c r="X179" s="21">
        <v>21</v>
      </c>
      <c r="Y179" s="94">
        <v>31</v>
      </c>
      <c r="Z179" s="116">
        <v>40</v>
      </c>
      <c r="AA179" s="87">
        <v>1159822870</v>
      </c>
      <c r="AB179" s="29">
        <v>1131090436</v>
      </c>
      <c r="AC179" s="29">
        <v>487700000</v>
      </c>
      <c r="AD179" s="29">
        <v>587161698</v>
      </c>
      <c r="AE179" s="29">
        <f t="shared" si="3"/>
        <v>3365775004</v>
      </c>
      <c r="AF179" s="30" t="s">
        <v>356</v>
      </c>
    </row>
    <row r="180" spans="1:32" ht="409.6" x14ac:dyDescent="0.3">
      <c r="A180" s="148"/>
      <c r="B180" s="159">
        <v>0</v>
      </c>
      <c r="C180" s="148"/>
      <c r="D180" s="160">
        <v>0</v>
      </c>
      <c r="E180" s="75">
        <v>30.207000000000001</v>
      </c>
      <c r="F180" s="75">
        <f>27.408+6.631</f>
        <v>34.039000000000001</v>
      </c>
      <c r="G180" s="75">
        <f>30.947-2-5</f>
        <v>23.946999999999999</v>
      </c>
      <c r="H180" s="75">
        <f>32.761-4.5</f>
        <v>28.261000000000003</v>
      </c>
      <c r="I180" s="75">
        <v>30.331000000000003</v>
      </c>
      <c r="J180" s="73">
        <v>52030030002</v>
      </c>
      <c r="K180" s="30" t="s">
        <v>1505</v>
      </c>
      <c r="L180" s="30" t="s">
        <v>1506</v>
      </c>
      <c r="M180" s="22" t="s">
        <v>107</v>
      </c>
      <c r="N180" s="22" t="s">
        <v>374</v>
      </c>
      <c r="O180" s="73" t="s">
        <v>679</v>
      </c>
      <c r="P180" s="22" t="s">
        <v>680</v>
      </c>
      <c r="Q180" s="22" t="s">
        <v>374</v>
      </c>
      <c r="R180" s="22">
        <v>3</v>
      </c>
      <c r="S180" s="21">
        <v>19</v>
      </c>
      <c r="T180" s="22">
        <v>2</v>
      </c>
      <c r="U180" s="21">
        <v>45</v>
      </c>
      <c r="V180" s="21">
        <v>90</v>
      </c>
      <c r="W180" s="48">
        <v>59</v>
      </c>
      <c r="X180" s="21">
        <v>70</v>
      </c>
      <c r="Y180" s="94">
        <v>80</v>
      </c>
      <c r="Z180" s="121">
        <v>90</v>
      </c>
      <c r="AA180" s="87">
        <v>4551233744</v>
      </c>
      <c r="AB180" s="29">
        <v>4043752523</v>
      </c>
      <c r="AC180" s="29">
        <v>2809223000</v>
      </c>
      <c r="AD180" s="29">
        <v>4750000000</v>
      </c>
      <c r="AE180" s="29">
        <f t="shared" si="3"/>
        <v>16154209267</v>
      </c>
      <c r="AF180" s="30" t="s">
        <v>356</v>
      </c>
    </row>
    <row r="181" spans="1:32" ht="409.6" x14ac:dyDescent="0.3">
      <c r="A181" s="148"/>
      <c r="B181" s="159">
        <v>0</v>
      </c>
      <c r="C181" s="148"/>
      <c r="D181" s="160">
        <v>0</v>
      </c>
      <c r="E181" s="75">
        <v>22.733999999999998</v>
      </c>
      <c r="F181" s="75">
        <f>24.399+4.118</f>
        <v>28.517000000000003</v>
      </c>
      <c r="G181" s="75">
        <f>25.113-3</f>
        <v>22.113</v>
      </c>
      <c r="H181" s="75">
        <f>25.682-2.5</f>
        <v>23.181999999999999</v>
      </c>
      <c r="I181" s="75">
        <v>24.481999999999999</v>
      </c>
      <c r="J181" s="73">
        <v>52030030003</v>
      </c>
      <c r="K181" s="30" t="s">
        <v>1507</v>
      </c>
      <c r="L181" s="30" t="s">
        <v>1508</v>
      </c>
      <c r="M181" s="22" t="s">
        <v>107</v>
      </c>
      <c r="N181" s="22" t="s">
        <v>374</v>
      </c>
      <c r="O181" s="73" t="s">
        <v>681</v>
      </c>
      <c r="P181" s="22" t="s">
        <v>682</v>
      </c>
      <c r="Q181" s="22" t="s">
        <v>374</v>
      </c>
      <c r="R181" s="22">
        <v>3</v>
      </c>
      <c r="S181" s="21">
        <v>19</v>
      </c>
      <c r="T181" s="22">
        <v>2</v>
      </c>
      <c r="U181" s="21">
        <v>36.700000000000003</v>
      </c>
      <c r="V181" s="21">
        <v>88</v>
      </c>
      <c r="W181" s="48">
        <v>70</v>
      </c>
      <c r="X181" s="48">
        <v>73</v>
      </c>
      <c r="Y181" s="102">
        <v>80.599999999999994</v>
      </c>
      <c r="Z181" s="121">
        <v>88</v>
      </c>
      <c r="AA181" s="87">
        <v>3103237690</v>
      </c>
      <c r="AB181" s="29">
        <v>2572251500</v>
      </c>
      <c r="AC181" s="29">
        <v>2069427500</v>
      </c>
      <c r="AD181" s="29">
        <v>1801000000</v>
      </c>
      <c r="AE181" s="29">
        <f t="shared" si="3"/>
        <v>9545916690</v>
      </c>
      <c r="AF181" s="30" t="s">
        <v>356</v>
      </c>
    </row>
    <row r="182" spans="1:32" ht="193.2" x14ac:dyDescent="0.3">
      <c r="A182" s="148"/>
      <c r="B182" s="159">
        <v>0</v>
      </c>
      <c r="C182" s="148"/>
      <c r="D182" s="160">
        <v>0</v>
      </c>
      <c r="E182" s="75">
        <v>0</v>
      </c>
      <c r="F182" s="75">
        <f>6.631-6.631</f>
        <v>0</v>
      </c>
      <c r="G182" s="75">
        <f>11.453-1.5+3</f>
        <v>12.952999999999999</v>
      </c>
      <c r="H182" s="75">
        <f>0+4+2.5</f>
        <v>6.5</v>
      </c>
      <c r="I182" s="75">
        <v>4.5209999999999999</v>
      </c>
      <c r="J182" s="73">
        <v>52030030004</v>
      </c>
      <c r="K182" s="30" t="s">
        <v>1509</v>
      </c>
      <c r="L182" s="30" t="s">
        <v>1510</v>
      </c>
      <c r="M182" s="22" t="s">
        <v>107</v>
      </c>
      <c r="N182" s="22" t="s">
        <v>374</v>
      </c>
      <c r="O182" s="73" t="s">
        <v>683</v>
      </c>
      <c r="P182" s="22" t="s">
        <v>684</v>
      </c>
      <c r="Q182" s="22" t="s">
        <v>373</v>
      </c>
      <c r="R182" s="22">
        <v>3</v>
      </c>
      <c r="S182" s="21">
        <v>40</v>
      </c>
      <c r="T182" s="22">
        <v>15</v>
      </c>
      <c r="U182" s="21">
        <v>0</v>
      </c>
      <c r="V182" s="21">
        <v>100</v>
      </c>
      <c r="W182" s="21">
        <v>0</v>
      </c>
      <c r="X182" s="48">
        <v>0</v>
      </c>
      <c r="Y182" s="94">
        <v>80</v>
      </c>
      <c r="Z182" s="116">
        <v>100</v>
      </c>
      <c r="AA182" s="87">
        <v>0</v>
      </c>
      <c r="AB182" s="29">
        <v>0</v>
      </c>
      <c r="AC182" s="29">
        <v>1007420512</v>
      </c>
      <c r="AD182" s="29">
        <v>1000000000</v>
      </c>
      <c r="AE182" s="29">
        <f>SUM(AA182:AD182)</f>
        <v>2007420512</v>
      </c>
      <c r="AF182" s="30" t="s">
        <v>356</v>
      </c>
    </row>
    <row r="183" spans="1:32" ht="220.8" x14ac:dyDescent="0.3">
      <c r="A183" s="148"/>
      <c r="B183" s="159">
        <v>0</v>
      </c>
      <c r="C183" s="148"/>
      <c r="D183" s="160">
        <v>0</v>
      </c>
      <c r="E183" s="75">
        <v>17.344000000000001</v>
      </c>
      <c r="F183" s="75">
        <f>16.769+6</f>
        <v>22.768999999999998</v>
      </c>
      <c r="G183" s="75">
        <f>17.142-2+5+3+1</f>
        <v>24.141999999999999</v>
      </c>
      <c r="H183" s="75">
        <v>21.701999999999998</v>
      </c>
      <c r="I183" s="75">
        <v>18.239000000000001</v>
      </c>
      <c r="J183" s="73">
        <v>52030030005</v>
      </c>
      <c r="K183" s="30" t="s">
        <v>1511</v>
      </c>
      <c r="L183" s="30" t="s">
        <v>1512</v>
      </c>
      <c r="M183" s="22" t="s">
        <v>107</v>
      </c>
      <c r="N183" s="22" t="s">
        <v>373</v>
      </c>
      <c r="O183" s="73" t="s">
        <v>400</v>
      </c>
      <c r="P183" s="22" t="s">
        <v>1798</v>
      </c>
      <c r="Q183" s="22" t="s">
        <v>373</v>
      </c>
      <c r="R183" s="22">
        <v>3</v>
      </c>
      <c r="S183" s="21">
        <v>19</v>
      </c>
      <c r="T183" s="22">
        <v>2</v>
      </c>
      <c r="U183" s="21">
        <v>0</v>
      </c>
      <c r="V183" s="21">
        <v>36000</v>
      </c>
      <c r="W183" s="21">
        <v>9000</v>
      </c>
      <c r="X183" s="48">
        <v>18000</v>
      </c>
      <c r="Y183" s="94">
        <v>27000</v>
      </c>
      <c r="Z183" s="116">
        <v>36000</v>
      </c>
      <c r="AA183" s="87">
        <v>2593729582</v>
      </c>
      <c r="AB183" s="29">
        <v>2014469465</v>
      </c>
      <c r="AC183" s="29">
        <v>3183552500</v>
      </c>
      <c r="AD183" s="29">
        <v>2987000000</v>
      </c>
      <c r="AE183" s="29">
        <f t="shared" si="3"/>
        <v>10778751547</v>
      </c>
      <c r="AF183" s="30" t="s">
        <v>356</v>
      </c>
    </row>
    <row r="184" spans="1:32" ht="55.2" x14ac:dyDescent="0.3">
      <c r="A184" s="148"/>
      <c r="B184" s="159">
        <v>0</v>
      </c>
      <c r="C184" s="148"/>
      <c r="D184" s="160">
        <v>0</v>
      </c>
      <c r="E184" s="75">
        <v>12.723000000000001</v>
      </c>
      <c r="F184" s="75">
        <f>10.118-6-4.118</f>
        <v>0</v>
      </c>
      <c r="G184" s="75">
        <f>0+1+3+2+2+1.5-3</f>
        <v>6.5</v>
      </c>
      <c r="H184" s="75">
        <f>0+4.5</f>
        <v>4.5</v>
      </c>
      <c r="I184" s="75">
        <v>5.71</v>
      </c>
      <c r="J184" s="73">
        <v>52030030006</v>
      </c>
      <c r="K184" s="30" t="s">
        <v>1513</v>
      </c>
      <c r="L184" s="30" t="s">
        <v>1514</v>
      </c>
      <c r="M184" s="22" t="s">
        <v>107</v>
      </c>
      <c r="N184" s="22" t="s">
        <v>373</v>
      </c>
      <c r="O184" s="73" t="s">
        <v>488</v>
      </c>
      <c r="P184" s="22" t="s">
        <v>685</v>
      </c>
      <c r="Q184" s="22" t="s">
        <v>373</v>
      </c>
      <c r="R184" s="22">
        <v>12</v>
      </c>
      <c r="S184" s="21">
        <v>32</v>
      </c>
      <c r="T184" s="22">
        <v>10</v>
      </c>
      <c r="U184" s="21">
        <v>0</v>
      </c>
      <c r="V184" s="21">
        <v>100</v>
      </c>
      <c r="W184" s="21">
        <v>55</v>
      </c>
      <c r="X184" s="21">
        <v>0</v>
      </c>
      <c r="Y184" s="102">
        <v>85</v>
      </c>
      <c r="Z184" s="116">
        <v>100</v>
      </c>
      <c r="AA184" s="105">
        <v>200000000</v>
      </c>
      <c r="AB184" s="29">
        <v>0</v>
      </c>
      <c r="AC184" s="29">
        <v>125000000</v>
      </c>
      <c r="AD184" s="29">
        <v>93423000</v>
      </c>
      <c r="AE184" s="29">
        <f t="shared" si="3"/>
        <v>418423000</v>
      </c>
      <c r="AF184" s="30" t="s">
        <v>368</v>
      </c>
    </row>
    <row r="185" spans="1:32" ht="82.8" x14ac:dyDescent="0.3">
      <c r="A185" s="148"/>
      <c r="B185" s="159">
        <v>0</v>
      </c>
      <c r="C185" s="148" t="s">
        <v>1515</v>
      </c>
      <c r="D185" s="160">
        <v>9.8000000000000007</v>
      </c>
      <c r="E185" s="75">
        <v>0</v>
      </c>
      <c r="F185" s="75">
        <v>0</v>
      </c>
      <c r="G185" s="74">
        <f>11.5-11.5</f>
        <v>0</v>
      </c>
      <c r="H185" s="75">
        <v>0</v>
      </c>
      <c r="I185" s="75">
        <v>4.6059999999999999</v>
      </c>
      <c r="J185" s="73">
        <v>52030040001</v>
      </c>
      <c r="K185" s="30" t="s">
        <v>1516</v>
      </c>
      <c r="L185" s="30" t="s">
        <v>1517</v>
      </c>
      <c r="M185" s="22" t="s">
        <v>144</v>
      </c>
      <c r="N185" s="22" t="s">
        <v>373</v>
      </c>
      <c r="O185" s="73" t="s">
        <v>381</v>
      </c>
      <c r="P185" s="22" t="s">
        <v>686</v>
      </c>
      <c r="Q185" s="22" t="s">
        <v>373</v>
      </c>
      <c r="R185" s="22">
        <v>2</v>
      </c>
      <c r="S185" s="21">
        <v>41</v>
      </c>
      <c r="T185" s="22">
        <v>14</v>
      </c>
      <c r="U185" s="21">
        <v>0</v>
      </c>
      <c r="V185" s="21">
        <v>1</v>
      </c>
      <c r="W185" s="21">
        <v>0</v>
      </c>
      <c r="X185" s="21">
        <v>0</v>
      </c>
      <c r="Y185" s="102">
        <v>0</v>
      </c>
      <c r="Z185" s="116">
        <v>0</v>
      </c>
      <c r="AA185" s="87">
        <v>0</v>
      </c>
      <c r="AB185" s="29">
        <v>0</v>
      </c>
      <c r="AC185" s="29">
        <v>0</v>
      </c>
      <c r="AD185" s="29">
        <v>0</v>
      </c>
      <c r="AE185" s="29">
        <f t="shared" si="3"/>
        <v>0</v>
      </c>
      <c r="AF185" s="30" t="s">
        <v>370</v>
      </c>
    </row>
    <row r="186" spans="1:32" ht="55.2" x14ac:dyDescent="0.3">
      <c r="A186" s="148"/>
      <c r="B186" s="159">
        <v>0</v>
      </c>
      <c r="C186" s="148"/>
      <c r="D186" s="160">
        <v>0</v>
      </c>
      <c r="E186" s="75">
        <v>59.164000000000009</v>
      </c>
      <c r="F186" s="75">
        <v>51.321000000000005</v>
      </c>
      <c r="G186" s="74">
        <f>39.411+11.5+6.224</f>
        <v>57.135000000000005</v>
      </c>
      <c r="H186" s="75">
        <f>42.925+16.445+19.415</f>
        <v>78.784999999999997</v>
      </c>
      <c r="I186" s="75">
        <v>47.704999999999998</v>
      </c>
      <c r="J186" s="73">
        <v>52030040002</v>
      </c>
      <c r="K186" s="30" t="s">
        <v>1518</v>
      </c>
      <c r="L186" s="30" t="s">
        <v>1519</v>
      </c>
      <c r="M186" s="22" t="s">
        <v>144</v>
      </c>
      <c r="N186" s="22" t="s">
        <v>373</v>
      </c>
      <c r="O186" s="73" t="s">
        <v>381</v>
      </c>
      <c r="P186" s="22" t="s">
        <v>687</v>
      </c>
      <c r="Q186" s="22" t="s">
        <v>373</v>
      </c>
      <c r="R186" s="22">
        <v>2</v>
      </c>
      <c r="S186" s="21">
        <v>41</v>
      </c>
      <c r="T186" s="22">
        <v>14</v>
      </c>
      <c r="U186" s="21">
        <v>38000</v>
      </c>
      <c r="V186" s="21">
        <v>38000</v>
      </c>
      <c r="W186" s="21">
        <v>38000</v>
      </c>
      <c r="X186" s="21">
        <v>38000</v>
      </c>
      <c r="Y186" s="94">
        <v>38000</v>
      </c>
      <c r="Z186" s="116">
        <v>38000</v>
      </c>
      <c r="AA186" s="87">
        <v>27883779918</v>
      </c>
      <c r="AB186" s="49">
        <v>18011118668</v>
      </c>
      <c r="AC186" s="49">
        <v>10185746454</v>
      </c>
      <c r="AD186" s="29">
        <v>12000000000</v>
      </c>
      <c r="AE186" s="29">
        <f t="shared" si="3"/>
        <v>68080645040</v>
      </c>
      <c r="AF186" s="30" t="s">
        <v>370</v>
      </c>
    </row>
    <row r="187" spans="1:32" ht="82.8" x14ac:dyDescent="0.3">
      <c r="A187" s="148"/>
      <c r="B187" s="159">
        <v>0</v>
      </c>
      <c r="C187" s="148"/>
      <c r="D187" s="160">
        <v>0</v>
      </c>
      <c r="E187" s="75">
        <v>40.835999999999999</v>
      </c>
      <c r="F187" s="75">
        <v>26.434000000000001</v>
      </c>
      <c r="G187" s="74">
        <f>15.36+11</f>
        <v>26.36</v>
      </c>
      <c r="H187" s="96">
        <f>16.445-16.445+21.215</f>
        <v>21.215</v>
      </c>
      <c r="I187" s="75">
        <v>24.268999999999998</v>
      </c>
      <c r="J187" s="73">
        <v>52030040003</v>
      </c>
      <c r="K187" s="30" t="s">
        <v>1520</v>
      </c>
      <c r="L187" s="30" t="s">
        <v>1521</v>
      </c>
      <c r="M187" s="22" t="s">
        <v>107</v>
      </c>
      <c r="N187" s="22" t="s">
        <v>373</v>
      </c>
      <c r="O187" s="73" t="s">
        <v>381</v>
      </c>
      <c r="P187" s="22" t="s">
        <v>688</v>
      </c>
      <c r="Q187" s="22" t="s">
        <v>373</v>
      </c>
      <c r="R187" s="22">
        <v>2</v>
      </c>
      <c r="S187" s="21">
        <v>41</v>
      </c>
      <c r="T187" s="22">
        <v>14</v>
      </c>
      <c r="U187" s="21">
        <v>99900</v>
      </c>
      <c r="V187" s="21">
        <v>840000</v>
      </c>
      <c r="W187" s="21">
        <v>99900</v>
      </c>
      <c r="X187" s="21">
        <v>117000</v>
      </c>
      <c r="Y187" s="94">
        <v>290000</v>
      </c>
      <c r="Z187" s="122">
        <v>840000</v>
      </c>
      <c r="AA187" s="87">
        <v>235117742</v>
      </c>
      <c r="AB187" s="29">
        <v>400000000</v>
      </c>
      <c r="AC187" s="29">
        <v>450000000</v>
      </c>
      <c r="AD187" s="29">
        <v>612304800</v>
      </c>
      <c r="AE187" s="29">
        <f t="shared" si="3"/>
        <v>1697422542</v>
      </c>
      <c r="AF187" s="30" t="s">
        <v>370</v>
      </c>
    </row>
    <row r="188" spans="1:32" ht="69" x14ac:dyDescent="0.3">
      <c r="A188" s="148"/>
      <c r="B188" s="159">
        <v>0</v>
      </c>
      <c r="C188" s="148"/>
      <c r="D188" s="160">
        <v>0</v>
      </c>
      <c r="E188" s="75">
        <v>0</v>
      </c>
      <c r="F188" s="75">
        <v>22.245000000000001</v>
      </c>
      <c r="G188" s="74">
        <f>16.505</f>
        <v>16.504999999999999</v>
      </c>
      <c r="H188" s="75">
        <f>19.415-19.415</f>
        <v>0</v>
      </c>
      <c r="I188" s="75">
        <v>12.934999999999999</v>
      </c>
      <c r="J188" s="73">
        <v>52030040004</v>
      </c>
      <c r="K188" s="30" t="s">
        <v>1522</v>
      </c>
      <c r="L188" s="30" t="s">
        <v>1523</v>
      </c>
      <c r="M188" s="22" t="s">
        <v>107</v>
      </c>
      <c r="N188" s="22" t="s">
        <v>373</v>
      </c>
      <c r="O188" s="73" t="s">
        <v>381</v>
      </c>
      <c r="P188" s="22" t="s">
        <v>689</v>
      </c>
      <c r="Q188" s="22" t="s">
        <v>373</v>
      </c>
      <c r="R188" s="22">
        <v>8</v>
      </c>
      <c r="S188" s="21">
        <v>35</v>
      </c>
      <c r="T188" s="22">
        <v>16</v>
      </c>
      <c r="U188" s="21">
        <v>0</v>
      </c>
      <c r="V188" s="21">
        <v>450</v>
      </c>
      <c r="W188" s="21">
        <v>0</v>
      </c>
      <c r="X188" s="21">
        <v>90</v>
      </c>
      <c r="Y188" s="94">
        <v>300</v>
      </c>
      <c r="Z188" s="116">
        <v>0</v>
      </c>
      <c r="AA188" s="87">
        <v>0</v>
      </c>
      <c r="AB188" s="29">
        <v>100000000</v>
      </c>
      <c r="AC188" s="29">
        <v>100000000</v>
      </c>
      <c r="AD188" s="29">
        <v>0</v>
      </c>
      <c r="AE188" s="29">
        <f t="shared" si="3"/>
        <v>200000000</v>
      </c>
      <c r="AF188" s="30" t="s">
        <v>364</v>
      </c>
    </row>
    <row r="189" spans="1:32" ht="124.2" x14ac:dyDescent="0.3">
      <c r="A189" s="148"/>
      <c r="B189" s="159">
        <v>0</v>
      </c>
      <c r="C189" s="148"/>
      <c r="D189" s="160">
        <v>0</v>
      </c>
      <c r="E189" s="75">
        <v>0</v>
      </c>
      <c r="F189" s="75">
        <v>0</v>
      </c>
      <c r="G189" s="74">
        <f>17.224-11-6.224</f>
        <v>0</v>
      </c>
      <c r="H189" s="75">
        <f>21.215-21.215</f>
        <v>0</v>
      </c>
      <c r="I189" s="75">
        <v>10.484999999999999</v>
      </c>
      <c r="J189" s="73">
        <v>52030040005</v>
      </c>
      <c r="K189" s="30" t="s">
        <v>1524</v>
      </c>
      <c r="L189" s="30" t="s">
        <v>1525</v>
      </c>
      <c r="M189" s="22" t="s">
        <v>144</v>
      </c>
      <c r="N189" s="22" t="s">
        <v>373</v>
      </c>
      <c r="O189" s="73" t="s">
        <v>381</v>
      </c>
      <c r="P189" s="22" t="s">
        <v>690</v>
      </c>
      <c r="Q189" s="22" t="s">
        <v>373</v>
      </c>
      <c r="R189" s="22">
        <v>2</v>
      </c>
      <c r="S189" s="21">
        <v>41</v>
      </c>
      <c r="T189" s="22">
        <v>14</v>
      </c>
      <c r="U189" s="21">
        <v>0</v>
      </c>
      <c r="V189" s="21">
        <v>1</v>
      </c>
      <c r="W189" s="21">
        <v>0</v>
      </c>
      <c r="X189" s="21">
        <v>0</v>
      </c>
      <c r="Y189" s="94">
        <v>0</v>
      </c>
      <c r="Z189" s="116">
        <v>0</v>
      </c>
      <c r="AA189" s="87">
        <v>0</v>
      </c>
      <c r="AB189" s="29">
        <v>0</v>
      </c>
      <c r="AC189" s="29">
        <v>0</v>
      </c>
      <c r="AD189" s="29">
        <v>0</v>
      </c>
      <c r="AE189" s="29">
        <f t="shared" si="3"/>
        <v>0</v>
      </c>
      <c r="AF189" s="30" t="s">
        <v>370</v>
      </c>
    </row>
    <row r="190" spans="1:32" ht="41.4" x14ac:dyDescent="0.3">
      <c r="A190" s="148"/>
      <c r="B190" s="159">
        <v>0</v>
      </c>
      <c r="C190" s="148" t="s">
        <v>1526</v>
      </c>
      <c r="D190" s="160">
        <v>7.4649999999999999</v>
      </c>
      <c r="E190" s="75">
        <v>21.324999999999999</v>
      </c>
      <c r="F190" s="75">
        <v>18.190000000000001</v>
      </c>
      <c r="G190" s="75">
        <v>10.497</v>
      </c>
      <c r="H190" s="75">
        <v>10.038</v>
      </c>
      <c r="I190" s="75">
        <v>15.013000000000002</v>
      </c>
      <c r="J190" s="73">
        <v>52030050001</v>
      </c>
      <c r="K190" s="30" t="s">
        <v>1527</v>
      </c>
      <c r="L190" s="30" t="s">
        <v>1528</v>
      </c>
      <c r="M190" s="22" t="s">
        <v>107</v>
      </c>
      <c r="N190" s="22" t="s">
        <v>373</v>
      </c>
      <c r="O190" s="73" t="s">
        <v>381</v>
      </c>
      <c r="P190" s="22" t="s">
        <v>691</v>
      </c>
      <c r="Q190" s="22" t="s">
        <v>373</v>
      </c>
      <c r="R190" s="22">
        <v>11</v>
      </c>
      <c r="S190" s="21">
        <v>40</v>
      </c>
      <c r="T190" s="22">
        <v>7</v>
      </c>
      <c r="U190" s="21">
        <v>21693</v>
      </c>
      <c r="V190" s="21">
        <v>27943</v>
      </c>
      <c r="W190" s="21">
        <v>21893</v>
      </c>
      <c r="X190" s="21">
        <v>22258</v>
      </c>
      <c r="Y190" s="94">
        <v>22841</v>
      </c>
      <c r="Z190" s="116">
        <v>27943</v>
      </c>
      <c r="AA190" s="87">
        <v>248575243</v>
      </c>
      <c r="AB190" s="29">
        <v>6076757620</v>
      </c>
      <c r="AC190" s="29">
        <v>29353067334</v>
      </c>
      <c r="AD190" s="29">
        <v>3702527260</v>
      </c>
      <c r="AE190" s="29">
        <f t="shared" si="3"/>
        <v>39380927457</v>
      </c>
      <c r="AF190" s="30" t="s">
        <v>1140</v>
      </c>
    </row>
    <row r="191" spans="1:32" ht="55.2" x14ac:dyDescent="0.3">
      <c r="A191" s="148"/>
      <c r="B191" s="159">
        <v>0</v>
      </c>
      <c r="C191" s="148"/>
      <c r="D191" s="160">
        <v>0</v>
      </c>
      <c r="E191" s="75">
        <v>0</v>
      </c>
      <c r="F191" s="75">
        <v>7.963000000000001</v>
      </c>
      <c r="G191" s="75">
        <v>7.4429999999999996</v>
      </c>
      <c r="H191" s="75">
        <f>7.454-1</f>
        <v>6.4539999999999997</v>
      </c>
      <c r="I191" s="75">
        <v>5.7160000000000002</v>
      </c>
      <c r="J191" s="73">
        <v>52030050002</v>
      </c>
      <c r="K191" s="30" t="s">
        <v>1529</v>
      </c>
      <c r="L191" s="30" t="s">
        <v>1530</v>
      </c>
      <c r="M191" s="22" t="s">
        <v>107</v>
      </c>
      <c r="N191" s="22" t="s">
        <v>376</v>
      </c>
      <c r="O191" s="73" t="s">
        <v>381</v>
      </c>
      <c r="P191" s="22" t="s">
        <v>692</v>
      </c>
      <c r="Q191" s="22" t="s">
        <v>376</v>
      </c>
      <c r="R191" s="22">
        <v>11</v>
      </c>
      <c r="S191" s="21">
        <v>40</v>
      </c>
      <c r="T191" s="22">
        <v>7</v>
      </c>
      <c r="U191" s="21">
        <v>26</v>
      </c>
      <c r="V191" s="21">
        <v>66</v>
      </c>
      <c r="W191" s="21">
        <v>0</v>
      </c>
      <c r="X191" s="21">
        <v>29</v>
      </c>
      <c r="Y191" s="94">
        <v>53</v>
      </c>
      <c r="Z191" s="116">
        <v>66</v>
      </c>
      <c r="AA191" s="87">
        <v>0</v>
      </c>
      <c r="AB191" s="29">
        <v>493694233</v>
      </c>
      <c r="AC191" s="29">
        <v>4699969500</v>
      </c>
      <c r="AD191" s="21">
        <v>823400220</v>
      </c>
      <c r="AE191" s="29">
        <f t="shared" si="3"/>
        <v>6017063953</v>
      </c>
      <c r="AF191" s="30" t="s">
        <v>1140</v>
      </c>
    </row>
    <row r="192" spans="1:32" ht="55.2" x14ac:dyDescent="0.3">
      <c r="A192" s="148"/>
      <c r="B192" s="159">
        <v>0</v>
      </c>
      <c r="C192" s="148"/>
      <c r="D192" s="160">
        <v>0</v>
      </c>
      <c r="E192" s="75">
        <v>16.744999999999997</v>
      </c>
      <c r="F192" s="75">
        <v>7.13</v>
      </c>
      <c r="G192" s="75">
        <v>7.2440000000000007</v>
      </c>
      <c r="H192" s="75">
        <f>7.115-7.115</f>
        <v>0</v>
      </c>
      <c r="I192" s="75">
        <v>9.5579999999999998</v>
      </c>
      <c r="J192" s="73">
        <v>52030050003</v>
      </c>
      <c r="K192" s="30" t="s">
        <v>1531</v>
      </c>
      <c r="L192" s="30" t="s">
        <v>1532</v>
      </c>
      <c r="M192" s="22" t="s">
        <v>107</v>
      </c>
      <c r="N192" s="22" t="s">
        <v>373</v>
      </c>
      <c r="O192" s="73" t="s">
        <v>381</v>
      </c>
      <c r="P192" s="22" t="s">
        <v>693</v>
      </c>
      <c r="Q192" s="22" t="s">
        <v>373</v>
      </c>
      <c r="R192" s="22">
        <v>1</v>
      </c>
      <c r="S192" s="21">
        <v>40</v>
      </c>
      <c r="T192" s="22">
        <v>7</v>
      </c>
      <c r="U192" s="21">
        <v>115</v>
      </c>
      <c r="V192" s="21">
        <v>330</v>
      </c>
      <c r="W192" s="21">
        <v>140</v>
      </c>
      <c r="X192" s="21">
        <v>162</v>
      </c>
      <c r="Y192" s="94">
        <v>187</v>
      </c>
      <c r="Z192" s="116">
        <v>0</v>
      </c>
      <c r="AA192" s="87">
        <v>34748756</v>
      </c>
      <c r="AB192" s="29">
        <v>200541000</v>
      </c>
      <c r="AC192" s="29">
        <v>338334675</v>
      </c>
      <c r="AD192" s="21">
        <v>0</v>
      </c>
      <c r="AE192" s="29">
        <f t="shared" si="3"/>
        <v>573624431</v>
      </c>
      <c r="AF192" s="30" t="s">
        <v>1140</v>
      </c>
    </row>
    <row r="193" spans="1:32" ht="41.4" x14ac:dyDescent="0.3">
      <c r="A193" s="148"/>
      <c r="B193" s="159">
        <v>0</v>
      </c>
      <c r="C193" s="148"/>
      <c r="D193" s="160">
        <v>0</v>
      </c>
      <c r="E193" s="75">
        <v>36.792000000000002</v>
      </c>
      <c r="F193" s="75">
        <v>10.25</v>
      </c>
      <c r="G193" s="75">
        <v>8.391</v>
      </c>
      <c r="H193" s="75">
        <v>8.7080000000000002</v>
      </c>
      <c r="I193" s="75">
        <v>16.035</v>
      </c>
      <c r="J193" s="73">
        <v>52030050004</v>
      </c>
      <c r="K193" s="30" t="s">
        <v>1533</v>
      </c>
      <c r="L193" s="30" t="s">
        <v>1534</v>
      </c>
      <c r="M193" s="22" t="s">
        <v>107</v>
      </c>
      <c r="N193" s="22" t="s">
        <v>373</v>
      </c>
      <c r="O193" s="73" t="s">
        <v>381</v>
      </c>
      <c r="P193" s="22" t="s">
        <v>694</v>
      </c>
      <c r="Q193" s="22" t="s">
        <v>373</v>
      </c>
      <c r="R193" s="22">
        <v>11</v>
      </c>
      <c r="S193" s="21">
        <v>40</v>
      </c>
      <c r="T193" s="22">
        <v>7</v>
      </c>
      <c r="U193" s="21">
        <v>6291</v>
      </c>
      <c r="V193" s="21">
        <v>9916</v>
      </c>
      <c r="W193" s="21">
        <v>6731</v>
      </c>
      <c r="X193" s="21">
        <v>6968</v>
      </c>
      <c r="Y193" s="94">
        <v>7708</v>
      </c>
      <c r="Z193" s="116">
        <v>9916</v>
      </c>
      <c r="AA193" s="87">
        <v>3584626500</v>
      </c>
      <c r="AB193" s="29">
        <v>7461831410</v>
      </c>
      <c r="AC193" s="29">
        <v>2529912633</v>
      </c>
      <c r="AD193" s="21">
        <v>1611977160</v>
      </c>
      <c r="AE193" s="29">
        <f t="shared" si="3"/>
        <v>15188347703</v>
      </c>
      <c r="AF193" s="30" t="s">
        <v>1140</v>
      </c>
    </row>
    <row r="194" spans="1:32" ht="55.2" x14ac:dyDescent="0.3">
      <c r="A194" s="148"/>
      <c r="B194" s="159">
        <v>0</v>
      </c>
      <c r="C194" s="148"/>
      <c r="D194" s="160">
        <v>0</v>
      </c>
      <c r="E194" s="75">
        <v>0</v>
      </c>
      <c r="F194" s="75">
        <v>0</v>
      </c>
      <c r="G194" s="75">
        <v>24.077000000000002</v>
      </c>
      <c r="H194" s="75">
        <f>24.256+7.115+2+1.7+3+1</f>
        <v>39.071000000000005</v>
      </c>
      <c r="I194" s="75">
        <v>12.083</v>
      </c>
      <c r="J194" s="73">
        <v>52030050005</v>
      </c>
      <c r="K194" s="30" t="s">
        <v>1535</v>
      </c>
      <c r="L194" s="30" t="s">
        <v>1536</v>
      </c>
      <c r="M194" s="22" t="s">
        <v>175</v>
      </c>
      <c r="N194" s="22" t="s">
        <v>374</v>
      </c>
      <c r="O194" s="73" t="s">
        <v>381</v>
      </c>
      <c r="P194" s="22" t="s">
        <v>695</v>
      </c>
      <c r="Q194" s="22" t="s">
        <v>374</v>
      </c>
      <c r="R194" s="22">
        <v>11</v>
      </c>
      <c r="S194" s="21">
        <v>40</v>
      </c>
      <c r="T194" s="22">
        <v>7</v>
      </c>
      <c r="U194" s="21">
        <v>0</v>
      </c>
      <c r="V194" s="21">
        <v>30</v>
      </c>
      <c r="W194" s="21">
        <v>0</v>
      </c>
      <c r="X194" s="21">
        <v>0</v>
      </c>
      <c r="Y194" s="94">
        <v>15</v>
      </c>
      <c r="Z194" s="116">
        <v>30</v>
      </c>
      <c r="AA194" s="87">
        <v>0</v>
      </c>
      <c r="AB194" s="29">
        <v>0</v>
      </c>
      <c r="AC194" s="29">
        <v>229649262810</v>
      </c>
      <c r="AD194" s="49">
        <v>434543680510.53998</v>
      </c>
      <c r="AE194" s="29">
        <f t="shared" si="3"/>
        <v>664192943320.54004</v>
      </c>
      <c r="AF194" s="30" t="s">
        <v>366</v>
      </c>
    </row>
    <row r="195" spans="1:32" ht="55.2" x14ac:dyDescent="0.3">
      <c r="A195" s="148"/>
      <c r="B195" s="159">
        <v>0</v>
      </c>
      <c r="C195" s="148"/>
      <c r="D195" s="160">
        <v>0</v>
      </c>
      <c r="E195" s="75">
        <v>0</v>
      </c>
      <c r="F195" s="75">
        <v>6.601</v>
      </c>
      <c r="G195" s="75">
        <v>7.0990000000000002</v>
      </c>
      <c r="H195" s="75">
        <f>7.107-3</f>
        <v>4.1070000000000002</v>
      </c>
      <c r="I195" s="75">
        <v>5.202</v>
      </c>
      <c r="J195" s="73">
        <v>52030050006</v>
      </c>
      <c r="K195" s="30" t="s">
        <v>1537</v>
      </c>
      <c r="L195" s="30" t="s">
        <v>1538</v>
      </c>
      <c r="M195" s="22" t="s">
        <v>107</v>
      </c>
      <c r="N195" s="22" t="s">
        <v>374</v>
      </c>
      <c r="O195" s="73" t="s">
        <v>696</v>
      </c>
      <c r="P195" s="22" t="s">
        <v>697</v>
      </c>
      <c r="Q195" s="22" t="s">
        <v>373</v>
      </c>
      <c r="R195" s="22">
        <v>11</v>
      </c>
      <c r="S195" s="21">
        <v>40</v>
      </c>
      <c r="T195" s="22">
        <v>7</v>
      </c>
      <c r="U195" s="21">
        <v>0.8</v>
      </c>
      <c r="V195" s="21">
        <v>1</v>
      </c>
      <c r="W195" s="21">
        <v>0</v>
      </c>
      <c r="X195" s="21">
        <v>0.86</v>
      </c>
      <c r="Y195" s="94">
        <v>0.73599999999999999</v>
      </c>
      <c r="Z195" s="116">
        <v>1</v>
      </c>
      <c r="AA195" s="87">
        <v>0</v>
      </c>
      <c r="AB195" s="29">
        <v>91930790</v>
      </c>
      <c r="AC195" s="29">
        <v>446192500</v>
      </c>
      <c r="AD195" s="29">
        <v>117362840</v>
      </c>
      <c r="AE195" s="29">
        <f t="shared" si="3"/>
        <v>655486130</v>
      </c>
      <c r="AF195" s="30" t="s">
        <v>1140</v>
      </c>
    </row>
    <row r="196" spans="1:32" ht="55.2" x14ac:dyDescent="0.3">
      <c r="A196" s="148"/>
      <c r="B196" s="159">
        <v>0</v>
      </c>
      <c r="C196" s="148"/>
      <c r="D196" s="160">
        <v>0</v>
      </c>
      <c r="E196" s="75">
        <v>0</v>
      </c>
      <c r="F196" s="75">
        <v>30.002000000000002</v>
      </c>
      <c r="G196" s="75">
        <v>13.630999999999998</v>
      </c>
      <c r="H196" s="75">
        <v>13.675999999999998</v>
      </c>
      <c r="I196" s="75">
        <v>14.327000000000002</v>
      </c>
      <c r="J196" s="73">
        <v>52030050007</v>
      </c>
      <c r="K196" s="30" t="s">
        <v>1539</v>
      </c>
      <c r="L196" s="30" t="s">
        <v>1540</v>
      </c>
      <c r="M196" s="22" t="s">
        <v>175</v>
      </c>
      <c r="N196" s="22" t="s">
        <v>377</v>
      </c>
      <c r="O196" s="73" t="s">
        <v>381</v>
      </c>
      <c r="P196" s="22" t="s">
        <v>698</v>
      </c>
      <c r="Q196" s="22" t="s">
        <v>377</v>
      </c>
      <c r="R196" s="22">
        <v>11</v>
      </c>
      <c r="S196" s="21">
        <v>40</v>
      </c>
      <c r="T196" s="22">
        <v>15</v>
      </c>
      <c r="U196" s="21">
        <v>84891</v>
      </c>
      <c r="V196" s="21">
        <v>187966</v>
      </c>
      <c r="W196" s="21">
        <v>0</v>
      </c>
      <c r="X196" s="21">
        <v>105506</v>
      </c>
      <c r="Y196" s="94">
        <v>146736</v>
      </c>
      <c r="Z196" s="116">
        <v>187966</v>
      </c>
      <c r="AA196" s="87">
        <v>0</v>
      </c>
      <c r="AB196" s="29">
        <v>28943460000</v>
      </c>
      <c r="AC196" s="29">
        <v>57886920000</v>
      </c>
      <c r="AD196" s="21">
        <v>136627862522.5</v>
      </c>
      <c r="AE196" s="29">
        <f t="shared" si="3"/>
        <v>223458242522.5</v>
      </c>
      <c r="AF196" s="30" t="s">
        <v>366</v>
      </c>
    </row>
    <row r="197" spans="1:32" ht="82.8" x14ac:dyDescent="0.3">
      <c r="A197" s="148"/>
      <c r="B197" s="159">
        <v>0</v>
      </c>
      <c r="C197" s="148"/>
      <c r="D197" s="160">
        <v>0</v>
      </c>
      <c r="E197" s="75">
        <v>0</v>
      </c>
      <c r="F197" s="75">
        <v>7.8869999999999996</v>
      </c>
      <c r="G197" s="75">
        <v>7.306</v>
      </c>
      <c r="H197" s="75">
        <v>7.3069999999999995</v>
      </c>
      <c r="I197" s="75">
        <v>5.625</v>
      </c>
      <c r="J197" s="73">
        <v>52030050008</v>
      </c>
      <c r="K197" s="30" t="s">
        <v>1541</v>
      </c>
      <c r="L197" s="30" t="s">
        <v>1542</v>
      </c>
      <c r="M197" s="22" t="s">
        <v>175</v>
      </c>
      <c r="N197" s="22" t="s">
        <v>373</v>
      </c>
      <c r="O197" s="73" t="s">
        <v>419</v>
      </c>
      <c r="P197" s="22" t="s">
        <v>1799</v>
      </c>
      <c r="Q197" s="22" t="s">
        <v>373</v>
      </c>
      <c r="R197" s="22">
        <v>11</v>
      </c>
      <c r="S197" s="21">
        <v>40</v>
      </c>
      <c r="T197" s="22">
        <v>15</v>
      </c>
      <c r="U197" s="21">
        <v>5</v>
      </c>
      <c r="V197" s="21">
        <v>8</v>
      </c>
      <c r="W197" s="21">
        <v>0</v>
      </c>
      <c r="X197" s="21">
        <v>6</v>
      </c>
      <c r="Y197" s="94">
        <v>7</v>
      </c>
      <c r="Z197" s="116">
        <v>8</v>
      </c>
      <c r="AA197" s="87">
        <v>0</v>
      </c>
      <c r="AB197" s="29">
        <v>1300000000</v>
      </c>
      <c r="AC197" s="29">
        <v>1300000000</v>
      </c>
      <c r="AD197" s="29">
        <v>899552225</v>
      </c>
      <c r="AE197" s="29">
        <f t="shared" si="3"/>
        <v>3499552225</v>
      </c>
      <c r="AF197" s="30" t="s">
        <v>366</v>
      </c>
    </row>
    <row r="198" spans="1:32" ht="41.4" x14ac:dyDescent="0.3">
      <c r="A198" s="148"/>
      <c r="B198" s="159">
        <v>0</v>
      </c>
      <c r="C198" s="148"/>
      <c r="D198" s="160">
        <v>0</v>
      </c>
      <c r="E198" s="75">
        <v>25.137999999999998</v>
      </c>
      <c r="F198" s="75">
        <v>6.2930000000000001</v>
      </c>
      <c r="G198" s="75">
        <v>7.1980000000000004</v>
      </c>
      <c r="H198" s="75">
        <f>7.221-1.7</f>
        <v>5.5209999999999999</v>
      </c>
      <c r="I198" s="75">
        <v>11.462</v>
      </c>
      <c r="J198" s="73">
        <v>52030050009</v>
      </c>
      <c r="K198" s="30" t="s">
        <v>1800</v>
      </c>
      <c r="L198" s="30" t="s">
        <v>1543</v>
      </c>
      <c r="M198" s="22" t="s">
        <v>107</v>
      </c>
      <c r="N198" s="22" t="s">
        <v>373</v>
      </c>
      <c r="O198" s="73" t="s">
        <v>696</v>
      </c>
      <c r="P198" s="22" t="s">
        <v>699</v>
      </c>
      <c r="Q198" s="22" t="s">
        <v>373</v>
      </c>
      <c r="R198" s="22">
        <v>11</v>
      </c>
      <c r="S198" s="21">
        <v>40</v>
      </c>
      <c r="T198" s="22">
        <v>7</v>
      </c>
      <c r="U198" s="21">
        <v>7</v>
      </c>
      <c r="V198" s="21">
        <v>9</v>
      </c>
      <c r="W198" s="48">
        <v>7.5</v>
      </c>
      <c r="X198" s="48">
        <v>7.75</v>
      </c>
      <c r="Y198" s="102">
        <v>8.5</v>
      </c>
      <c r="Z198" s="121">
        <v>9</v>
      </c>
      <c r="AA198" s="87">
        <v>800000000</v>
      </c>
      <c r="AB198" s="29">
        <v>262699700</v>
      </c>
      <c r="AC198" s="29">
        <v>398091000</v>
      </c>
      <c r="AD198" s="29">
        <v>643737600</v>
      </c>
      <c r="AE198" s="29">
        <f t="shared" si="3"/>
        <v>2104528300</v>
      </c>
      <c r="AF198" s="30" t="s">
        <v>1140</v>
      </c>
    </row>
    <row r="199" spans="1:32" ht="41.4" x14ac:dyDescent="0.3">
      <c r="A199" s="148"/>
      <c r="B199" s="159">
        <v>0</v>
      </c>
      <c r="C199" s="148"/>
      <c r="D199" s="160">
        <v>0</v>
      </c>
      <c r="E199" s="75">
        <v>0</v>
      </c>
      <c r="F199" s="75">
        <v>5.6840000000000002</v>
      </c>
      <c r="G199" s="75">
        <v>7.1139999999999999</v>
      </c>
      <c r="H199" s="75">
        <f>7.118-2</f>
        <v>5.1180000000000003</v>
      </c>
      <c r="I199" s="75">
        <v>4.9790000000000001</v>
      </c>
      <c r="J199" s="73">
        <v>52030050010</v>
      </c>
      <c r="K199" s="30" t="s">
        <v>1544</v>
      </c>
      <c r="L199" s="30" t="s">
        <v>1545</v>
      </c>
      <c r="M199" s="22" t="s">
        <v>107</v>
      </c>
      <c r="N199" s="22" t="s">
        <v>373</v>
      </c>
      <c r="O199" s="73" t="s">
        <v>381</v>
      </c>
      <c r="P199" s="22" t="s">
        <v>700</v>
      </c>
      <c r="Q199" s="22" t="s">
        <v>373</v>
      </c>
      <c r="R199" s="22">
        <v>11</v>
      </c>
      <c r="S199" s="21">
        <v>40</v>
      </c>
      <c r="T199" s="22">
        <v>7</v>
      </c>
      <c r="U199" s="21">
        <v>0</v>
      </c>
      <c r="V199" s="21">
        <v>1</v>
      </c>
      <c r="W199" s="21">
        <v>0</v>
      </c>
      <c r="X199" s="48">
        <v>0.3</v>
      </c>
      <c r="Y199" s="102">
        <v>0.6</v>
      </c>
      <c r="Z199" s="121">
        <v>1</v>
      </c>
      <c r="AA199" s="87">
        <v>0</v>
      </c>
      <c r="AB199" s="29">
        <v>216388700</v>
      </c>
      <c r="AC199" s="29">
        <v>569379100</v>
      </c>
      <c r="AD199" s="29">
        <v>478114560</v>
      </c>
      <c r="AE199" s="29">
        <f t="shared" si="3"/>
        <v>1263882360</v>
      </c>
      <c r="AF199" s="30" t="s">
        <v>1140</v>
      </c>
    </row>
    <row r="200" spans="1:32" ht="38.25" customHeight="1" x14ac:dyDescent="0.3">
      <c r="A200" s="148"/>
      <c r="B200" s="159">
        <v>0</v>
      </c>
      <c r="C200" s="148" t="s">
        <v>1546</v>
      </c>
      <c r="D200" s="160">
        <v>7.1510000000000007</v>
      </c>
      <c r="E200" s="75">
        <v>0</v>
      </c>
      <c r="F200" s="75">
        <f>36.814+12+6</f>
        <v>54.814</v>
      </c>
      <c r="G200" s="75">
        <f>48.109-4</f>
        <v>44.109000000000002</v>
      </c>
      <c r="H200" s="75">
        <f>48.012-8+8+5-5</f>
        <v>48.012</v>
      </c>
      <c r="I200" s="75">
        <v>36.234000000000002</v>
      </c>
      <c r="J200" s="73">
        <v>52030060001</v>
      </c>
      <c r="K200" s="30" t="s">
        <v>1547</v>
      </c>
      <c r="L200" s="30" t="s">
        <v>1548</v>
      </c>
      <c r="M200" s="22" t="s">
        <v>107</v>
      </c>
      <c r="N200" s="22" t="s">
        <v>373</v>
      </c>
      <c r="O200" s="73" t="s">
        <v>414</v>
      </c>
      <c r="P200" s="22" t="s">
        <v>701</v>
      </c>
      <c r="Q200" s="22" t="s">
        <v>373</v>
      </c>
      <c r="R200" s="22">
        <v>6</v>
      </c>
      <c r="S200" s="21">
        <v>32</v>
      </c>
      <c r="T200" s="22">
        <v>3</v>
      </c>
      <c r="U200" s="21">
        <v>11</v>
      </c>
      <c r="V200" s="21">
        <v>22</v>
      </c>
      <c r="W200" s="21">
        <v>0</v>
      </c>
      <c r="X200" s="21">
        <v>14</v>
      </c>
      <c r="Y200" s="102">
        <v>18</v>
      </c>
      <c r="Z200" s="116">
        <v>22</v>
      </c>
      <c r="AA200" s="87">
        <v>0</v>
      </c>
      <c r="AB200" s="29">
        <v>135118166353</v>
      </c>
      <c r="AC200" s="29">
        <v>88580107940</v>
      </c>
      <c r="AD200" s="29">
        <v>88580107940</v>
      </c>
      <c r="AE200" s="29">
        <f t="shared" si="3"/>
        <v>312278382233</v>
      </c>
      <c r="AF200" s="30" t="s">
        <v>365</v>
      </c>
    </row>
    <row r="201" spans="1:32" ht="27.6" x14ac:dyDescent="0.3">
      <c r="A201" s="148"/>
      <c r="B201" s="159">
        <v>0</v>
      </c>
      <c r="C201" s="148"/>
      <c r="D201" s="160">
        <v>0</v>
      </c>
      <c r="E201" s="75">
        <v>43.958999999999996</v>
      </c>
      <c r="F201" s="75">
        <v>19.359000000000002</v>
      </c>
      <c r="G201" s="75">
        <f>25.576-4-1.5-5</f>
        <v>15.076000000000001</v>
      </c>
      <c r="H201" s="75">
        <f>25.609-5-7</f>
        <v>13.609000000000002</v>
      </c>
      <c r="I201" s="75">
        <v>26.626000000000001</v>
      </c>
      <c r="J201" s="73">
        <v>52030060002</v>
      </c>
      <c r="K201" s="30" t="s">
        <v>1549</v>
      </c>
      <c r="L201" s="30" t="s">
        <v>1550</v>
      </c>
      <c r="M201" s="22" t="s">
        <v>107</v>
      </c>
      <c r="N201" s="22" t="s">
        <v>373</v>
      </c>
      <c r="O201" s="73" t="s">
        <v>381</v>
      </c>
      <c r="P201" s="22" t="s">
        <v>702</v>
      </c>
      <c r="Q201" s="22" t="s">
        <v>373</v>
      </c>
      <c r="R201" s="22">
        <v>10</v>
      </c>
      <c r="S201" s="21">
        <v>40</v>
      </c>
      <c r="T201" s="22">
        <v>7</v>
      </c>
      <c r="U201" s="21">
        <v>6382</v>
      </c>
      <c r="V201" s="21">
        <v>9132</v>
      </c>
      <c r="W201" s="21">
        <v>6682</v>
      </c>
      <c r="X201" s="21">
        <v>7499</v>
      </c>
      <c r="Y201" s="102">
        <v>7916</v>
      </c>
      <c r="Z201" s="116">
        <v>9132</v>
      </c>
      <c r="AA201" s="87">
        <v>438895103</v>
      </c>
      <c r="AB201" s="29">
        <v>490589861</v>
      </c>
      <c r="AC201" s="29">
        <v>1224932477</v>
      </c>
      <c r="AD201" s="29">
        <v>1652194620</v>
      </c>
      <c r="AE201" s="29">
        <f t="shared" si="3"/>
        <v>3806612061</v>
      </c>
      <c r="AF201" s="30" t="s">
        <v>1140</v>
      </c>
    </row>
    <row r="202" spans="1:32" ht="55.2" x14ac:dyDescent="0.3">
      <c r="A202" s="148"/>
      <c r="B202" s="159">
        <v>0</v>
      </c>
      <c r="C202" s="148"/>
      <c r="D202" s="160">
        <v>0</v>
      </c>
      <c r="E202" s="75">
        <v>56.040999999999997</v>
      </c>
      <c r="F202" s="75">
        <f>19.827+6</f>
        <v>25.827000000000002</v>
      </c>
      <c r="G202" s="75">
        <f>26.315-1.5+5.5+5.5+5</f>
        <v>40.814999999999998</v>
      </c>
      <c r="H202" s="75">
        <f>26.379-3+3</f>
        <v>26.379000000000001</v>
      </c>
      <c r="I202" s="75">
        <v>30.14</v>
      </c>
      <c r="J202" s="73">
        <v>52030060003</v>
      </c>
      <c r="K202" s="30" t="s">
        <v>1551</v>
      </c>
      <c r="L202" s="30" t="s">
        <v>1552</v>
      </c>
      <c r="M202" s="22" t="s">
        <v>107</v>
      </c>
      <c r="N202" s="22" t="s">
        <v>373</v>
      </c>
      <c r="O202" s="73" t="s">
        <v>381</v>
      </c>
      <c r="P202" s="22" t="s">
        <v>703</v>
      </c>
      <c r="Q202" s="22" t="s">
        <v>373</v>
      </c>
      <c r="R202" s="22">
        <v>11</v>
      </c>
      <c r="S202" s="21">
        <v>40</v>
      </c>
      <c r="T202" s="22">
        <v>7</v>
      </c>
      <c r="U202" s="21">
        <v>0</v>
      </c>
      <c r="V202" s="21">
        <v>25</v>
      </c>
      <c r="W202" s="21">
        <v>1</v>
      </c>
      <c r="X202" s="21">
        <v>5</v>
      </c>
      <c r="Y202" s="94">
        <v>25</v>
      </c>
      <c r="Z202" s="116">
        <v>25</v>
      </c>
      <c r="AA202" s="87">
        <v>1076691310</v>
      </c>
      <c r="AB202" s="29">
        <v>1461812352</v>
      </c>
      <c r="AC202" s="29">
        <v>84367422843</v>
      </c>
      <c r="AD202" s="29">
        <v>16542033234</v>
      </c>
      <c r="AE202" s="29">
        <f t="shared" si="3"/>
        <v>103447959739</v>
      </c>
      <c r="AF202" s="30" t="s">
        <v>1140</v>
      </c>
    </row>
    <row r="203" spans="1:32" ht="41.4" x14ac:dyDescent="0.3">
      <c r="A203" s="148"/>
      <c r="B203" s="159">
        <v>0</v>
      </c>
      <c r="C203" s="148"/>
      <c r="D203" s="160">
        <v>0</v>
      </c>
      <c r="E203" s="75">
        <v>0</v>
      </c>
      <c r="F203" s="75">
        <f>12-6-6</f>
        <v>0</v>
      </c>
      <c r="G203" s="75">
        <f>0+4+1.5-5.5</f>
        <v>0</v>
      </c>
      <c r="H203" s="96">
        <f>0+8-8+5</f>
        <v>5</v>
      </c>
      <c r="I203" s="75">
        <v>3.5000000000000004</v>
      </c>
      <c r="J203" s="73">
        <v>52030060004</v>
      </c>
      <c r="K203" s="30" t="s">
        <v>1553</v>
      </c>
      <c r="L203" s="30" t="s">
        <v>1554</v>
      </c>
      <c r="M203" s="22" t="s">
        <v>107</v>
      </c>
      <c r="N203" s="22" t="s">
        <v>533</v>
      </c>
      <c r="O203" s="73" t="s">
        <v>381</v>
      </c>
      <c r="P203" s="22" t="s">
        <v>704</v>
      </c>
      <c r="Q203" s="22" t="s">
        <v>373</v>
      </c>
      <c r="R203" s="22">
        <v>11</v>
      </c>
      <c r="S203" s="21">
        <v>40</v>
      </c>
      <c r="T203" s="22">
        <v>7</v>
      </c>
      <c r="U203" s="21">
        <v>0</v>
      </c>
      <c r="V203" s="21">
        <v>1</v>
      </c>
      <c r="W203" s="21">
        <v>0</v>
      </c>
      <c r="X203" s="21">
        <v>0</v>
      </c>
      <c r="Y203" s="94">
        <v>0</v>
      </c>
      <c r="Z203" s="122">
        <v>1</v>
      </c>
      <c r="AA203" s="87">
        <v>0</v>
      </c>
      <c r="AB203" s="29">
        <v>0</v>
      </c>
      <c r="AC203" s="29">
        <v>0</v>
      </c>
      <c r="AD203" s="29">
        <v>17152000</v>
      </c>
      <c r="AE203" s="29">
        <f t="shared" si="3"/>
        <v>17152000</v>
      </c>
      <c r="AF203" s="30" t="s">
        <v>1140</v>
      </c>
    </row>
    <row r="204" spans="1:32" ht="55.2" x14ac:dyDescent="0.3">
      <c r="A204" s="148"/>
      <c r="B204" s="159">
        <v>0</v>
      </c>
      <c r="C204" s="148"/>
      <c r="D204" s="160">
        <v>0</v>
      </c>
      <c r="E204" s="75">
        <v>0</v>
      </c>
      <c r="F204" s="75">
        <f>12-12</f>
        <v>0</v>
      </c>
      <c r="G204" s="75">
        <f>0+4+1.5-5.5</f>
        <v>0</v>
      </c>
      <c r="H204" s="96">
        <f>0+5+3-3-5+7</f>
        <v>7</v>
      </c>
      <c r="I204" s="75">
        <v>3.5000000000000004</v>
      </c>
      <c r="J204" s="73">
        <v>52030060005</v>
      </c>
      <c r="K204" s="30" t="s">
        <v>1555</v>
      </c>
      <c r="L204" s="30" t="s">
        <v>1556</v>
      </c>
      <c r="M204" s="22" t="s">
        <v>107</v>
      </c>
      <c r="N204" s="22" t="s">
        <v>533</v>
      </c>
      <c r="O204" s="73" t="s">
        <v>381</v>
      </c>
      <c r="P204" s="22" t="s">
        <v>705</v>
      </c>
      <c r="Q204" s="22" t="s">
        <v>373</v>
      </c>
      <c r="R204" s="22">
        <v>11</v>
      </c>
      <c r="S204" s="21">
        <v>40</v>
      </c>
      <c r="T204" s="22">
        <v>7</v>
      </c>
      <c r="U204" s="21">
        <v>0</v>
      </c>
      <c r="V204" s="21">
        <v>1</v>
      </c>
      <c r="W204" s="21">
        <v>0</v>
      </c>
      <c r="X204" s="21">
        <v>0</v>
      </c>
      <c r="Y204" s="94">
        <v>0</v>
      </c>
      <c r="Z204" s="122">
        <v>1</v>
      </c>
      <c r="AA204" s="87">
        <v>0</v>
      </c>
      <c r="AB204" s="29">
        <v>0</v>
      </c>
      <c r="AC204" s="29">
        <v>0</v>
      </c>
      <c r="AD204" s="29">
        <v>25728000</v>
      </c>
      <c r="AE204" s="29">
        <f t="shared" si="3"/>
        <v>25728000</v>
      </c>
      <c r="AF204" s="30" t="s">
        <v>1140</v>
      </c>
    </row>
    <row r="205" spans="1:32" ht="51" customHeight="1" x14ac:dyDescent="0.3">
      <c r="A205" s="148"/>
      <c r="B205" s="159">
        <v>0</v>
      </c>
      <c r="C205" s="148" t="s">
        <v>1557</v>
      </c>
      <c r="D205" s="160">
        <v>8.5459999999999994</v>
      </c>
      <c r="E205" s="75">
        <v>0</v>
      </c>
      <c r="F205" s="75">
        <v>0</v>
      </c>
      <c r="G205" s="74">
        <v>0</v>
      </c>
      <c r="H205" s="75">
        <f>18.258-3.5-10-4.758</f>
        <v>0</v>
      </c>
      <c r="I205" s="75">
        <v>4.5650000000000004</v>
      </c>
      <c r="J205" s="73">
        <v>52030070001</v>
      </c>
      <c r="K205" s="30" t="s">
        <v>1558</v>
      </c>
      <c r="L205" s="30" t="s">
        <v>1559</v>
      </c>
      <c r="M205" s="22" t="s">
        <v>107</v>
      </c>
      <c r="N205" s="22" t="s">
        <v>376</v>
      </c>
      <c r="O205" s="73" t="s">
        <v>381</v>
      </c>
      <c r="P205" s="22" t="s">
        <v>706</v>
      </c>
      <c r="Q205" s="22" t="s">
        <v>376</v>
      </c>
      <c r="R205" s="22">
        <v>11</v>
      </c>
      <c r="S205" s="21">
        <v>40</v>
      </c>
      <c r="T205" s="22">
        <v>15</v>
      </c>
      <c r="U205" s="21">
        <v>0</v>
      </c>
      <c r="V205" s="21">
        <v>12</v>
      </c>
      <c r="W205" s="21">
        <v>0</v>
      </c>
      <c r="X205" s="21">
        <v>0</v>
      </c>
      <c r="Y205" s="94">
        <v>0</v>
      </c>
      <c r="Z205" s="116">
        <v>0</v>
      </c>
      <c r="AA205" s="111">
        <v>0</v>
      </c>
      <c r="AB205" s="29">
        <v>0</v>
      </c>
      <c r="AC205" s="29">
        <v>0</v>
      </c>
      <c r="AD205" s="29">
        <v>0</v>
      </c>
      <c r="AE205" s="29">
        <f t="shared" si="3"/>
        <v>0</v>
      </c>
      <c r="AF205" s="30" t="s">
        <v>368</v>
      </c>
    </row>
    <row r="206" spans="1:32" ht="82.8" x14ac:dyDescent="0.3">
      <c r="A206" s="148"/>
      <c r="B206" s="159">
        <v>0</v>
      </c>
      <c r="C206" s="148"/>
      <c r="D206" s="160">
        <v>0</v>
      </c>
      <c r="E206" s="75">
        <v>25.134</v>
      </c>
      <c r="F206" s="75">
        <f>9.087+6.745+6.447</f>
        <v>22.279</v>
      </c>
      <c r="G206" s="74">
        <f>12.968+6.633-1.5</f>
        <v>18.100999999999999</v>
      </c>
      <c r="H206" s="75">
        <f>10.324+10</f>
        <v>20.323999999999998</v>
      </c>
      <c r="I206" s="75">
        <v>14.377999999999998</v>
      </c>
      <c r="J206" s="73">
        <v>52030070002</v>
      </c>
      <c r="K206" s="30" t="s">
        <v>1560</v>
      </c>
      <c r="L206" s="30" t="s">
        <v>1561</v>
      </c>
      <c r="M206" s="22" t="s">
        <v>107</v>
      </c>
      <c r="N206" s="22" t="s">
        <v>373</v>
      </c>
      <c r="O206" s="73" t="s">
        <v>381</v>
      </c>
      <c r="P206" s="22" t="s">
        <v>707</v>
      </c>
      <c r="Q206" s="22" t="s">
        <v>373</v>
      </c>
      <c r="R206" s="22">
        <v>11</v>
      </c>
      <c r="S206" s="21">
        <v>40</v>
      </c>
      <c r="T206" s="22">
        <v>15</v>
      </c>
      <c r="U206" s="21">
        <v>334</v>
      </c>
      <c r="V206" s="21">
        <v>673</v>
      </c>
      <c r="W206" s="21">
        <v>384</v>
      </c>
      <c r="X206" s="21">
        <v>411</v>
      </c>
      <c r="Y206" s="94">
        <v>431</v>
      </c>
      <c r="Z206" s="116">
        <v>673</v>
      </c>
      <c r="AA206" s="105">
        <v>6081962713</v>
      </c>
      <c r="AB206" s="29">
        <v>3692896586</v>
      </c>
      <c r="AC206" s="29">
        <v>4720366144</v>
      </c>
      <c r="AD206" s="29">
        <v>7084579586</v>
      </c>
      <c r="AE206" s="29">
        <f t="shared" si="3"/>
        <v>21579805029</v>
      </c>
      <c r="AF206" s="30" t="s">
        <v>368</v>
      </c>
    </row>
    <row r="207" spans="1:32" ht="41.4" x14ac:dyDescent="0.3">
      <c r="A207" s="148"/>
      <c r="B207" s="159">
        <v>0</v>
      </c>
      <c r="C207" s="148"/>
      <c r="D207" s="160">
        <v>0</v>
      </c>
      <c r="E207" s="75">
        <v>0</v>
      </c>
      <c r="F207" s="75">
        <v>0</v>
      </c>
      <c r="G207" s="74">
        <f>0+3+1+1.5+2</f>
        <v>7.5</v>
      </c>
      <c r="H207" s="75">
        <f>8.629-3-4-1.629+5.5+4.758+5</f>
        <v>15.257999999999999</v>
      </c>
      <c r="I207" s="75">
        <v>2.1590000000000003</v>
      </c>
      <c r="J207" s="73">
        <v>52030070003</v>
      </c>
      <c r="K207" s="30" t="s">
        <v>1562</v>
      </c>
      <c r="L207" s="30" t="s">
        <v>1563</v>
      </c>
      <c r="M207" s="22" t="s">
        <v>107</v>
      </c>
      <c r="N207" s="22" t="s">
        <v>373</v>
      </c>
      <c r="O207" s="73" t="s">
        <v>381</v>
      </c>
      <c r="P207" s="22" t="s">
        <v>708</v>
      </c>
      <c r="Q207" s="22" t="s">
        <v>373</v>
      </c>
      <c r="R207" s="22">
        <v>11</v>
      </c>
      <c r="S207" s="21">
        <v>40</v>
      </c>
      <c r="T207" s="22">
        <v>7</v>
      </c>
      <c r="U207" s="21">
        <v>0</v>
      </c>
      <c r="V207" s="21">
        <v>1</v>
      </c>
      <c r="W207" s="21">
        <v>0</v>
      </c>
      <c r="X207" s="21">
        <v>0</v>
      </c>
      <c r="Y207" s="94">
        <v>1</v>
      </c>
      <c r="Z207" s="21">
        <v>1</v>
      </c>
      <c r="AA207" s="87">
        <v>0</v>
      </c>
      <c r="AB207" s="21">
        <v>0</v>
      </c>
      <c r="AC207" s="21">
        <v>450488008</v>
      </c>
      <c r="AD207" s="21">
        <v>5000000000</v>
      </c>
      <c r="AE207" s="29">
        <f t="shared" si="3"/>
        <v>5450488008</v>
      </c>
      <c r="AF207" s="30" t="s">
        <v>1142</v>
      </c>
    </row>
    <row r="208" spans="1:32" ht="41.4" x14ac:dyDescent="0.3">
      <c r="A208" s="148"/>
      <c r="B208" s="159">
        <v>0</v>
      </c>
      <c r="C208" s="148"/>
      <c r="D208" s="160">
        <v>0</v>
      </c>
      <c r="E208" s="75">
        <v>14.19</v>
      </c>
      <c r="F208" s="75">
        <f>8.981+4.383</f>
        <v>13.364000000000001</v>
      </c>
      <c r="G208" s="74">
        <v>8.9410000000000007</v>
      </c>
      <c r="H208" s="75">
        <f>8.156+1.629</f>
        <v>9.7850000000000001</v>
      </c>
      <c r="I208" s="75">
        <v>10.067</v>
      </c>
      <c r="J208" s="73">
        <v>52030070004</v>
      </c>
      <c r="K208" s="30" t="s">
        <v>1564</v>
      </c>
      <c r="L208" s="30" t="s">
        <v>1565</v>
      </c>
      <c r="M208" s="22" t="s">
        <v>144</v>
      </c>
      <c r="N208" s="22" t="s">
        <v>373</v>
      </c>
      <c r="O208" s="73" t="s">
        <v>381</v>
      </c>
      <c r="P208" s="22" t="s">
        <v>709</v>
      </c>
      <c r="Q208" s="22" t="s">
        <v>373</v>
      </c>
      <c r="R208" s="22">
        <v>11</v>
      </c>
      <c r="S208" s="21">
        <v>33</v>
      </c>
      <c r="T208" s="22">
        <v>5</v>
      </c>
      <c r="U208" s="21">
        <v>5</v>
      </c>
      <c r="V208" s="21">
        <v>152</v>
      </c>
      <c r="W208" s="21">
        <v>52</v>
      </c>
      <c r="X208" s="21">
        <v>134</v>
      </c>
      <c r="Y208" s="94">
        <v>120</v>
      </c>
      <c r="Z208" s="116">
        <v>152</v>
      </c>
      <c r="AA208" s="87">
        <v>2982473569</v>
      </c>
      <c r="AB208" s="49">
        <v>2018439930</v>
      </c>
      <c r="AC208" s="49">
        <v>1929237008</v>
      </c>
      <c r="AD208" s="21">
        <v>2427703129</v>
      </c>
      <c r="AE208" s="29">
        <f t="shared" si="3"/>
        <v>9357853636</v>
      </c>
      <c r="AF208" s="30" t="s">
        <v>355</v>
      </c>
    </row>
    <row r="209" spans="1:32" ht="69" x14ac:dyDescent="0.3">
      <c r="A209" s="148"/>
      <c r="B209" s="159">
        <v>0</v>
      </c>
      <c r="C209" s="148"/>
      <c r="D209" s="160">
        <v>0</v>
      </c>
      <c r="E209" s="75">
        <v>0</v>
      </c>
      <c r="F209" s="75">
        <v>6.0430000000000001</v>
      </c>
      <c r="G209" s="74">
        <f>8.633-2-6.633</f>
        <v>0</v>
      </c>
      <c r="H209" s="75">
        <f>0+3.5+2-5.5</f>
        <v>0</v>
      </c>
      <c r="I209" s="75">
        <v>1.5110000000000001</v>
      </c>
      <c r="J209" s="73">
        <v>52030070005</v>
      </c>
      <c r="K209" s="30" t="s">
        <v>1566</v>
      </c>
      <c r="L209" s="30" t="s">
        <v>1567</v>
      </c>
      <c r="M209" s="22" t="s">
        <v>107</v>
      </c>
      <c r="N209" s="22" t="s">
        <v>373</v>
      </c>
      <c r="O209" s="73" t="s">
        <v>381</v>
      </c>
      <c r="P209" s="22" t="s">
        <v>710</v>
      </c>
      <c r="Q209" s="22" t="s">
        <v>373</v>
      </c>
      <c r="R209" s="22">
        <v>11</v>
      </c>
      <c r="S209" s="21">
        <v>45</v>
      </c>
      <c r="T209" s="22">
        <v>18</v>
      </c>
      <c r="U209" s="21">
        <v>0</v>
      </c>
      <c r="V209" s="21">
        <v>1</v>
      </c>
      <c r="W209" s="21">
        <v>0</v>
      </c>
      <c r="X209" s="21">
        <v>1</v>
      </c>
      <c r="Y209" s="94">
        <v>0</v>
      </c>
      <c r="Z209" s="116">
        <v>0</v>
      </c>
      <c r="AA209" s="87">
        <v>0</v>
      </c>
      <c r="AB209" s="29">
        <v>350000000</v>
      </c>
      <c r="AC209" s="29">
        <v>0</v>
      </c>
      <c r="AD209" s="21">
        <v>0</v>
      </c>
      <c r="AE209" s="29">
        <f t="shared" ref="AE209:AE274" si="4">SUM(AA209:AD209)</f>
        <v>350000000</v>
      </c>
      <c r="AF209" s="30" t="s">
        <v>372</v>
      </c>
    </row>
    <row r="210" spans="1:32" ht="55.2" x14ac:dyDescent="0.3">
      <c r="A210" s="148"/>
      <c r="B210" s="159">
        <v>0</v>
      </c>
      <c r="C210" s="148"/>
      <c r="D210" s="160">
        <v>0</v>
      </c>
      <c r="E210" s="75">
        <v>15.773999999999999</v>
      </c>
      <c r="F210" s="75">
        <f>10.585+4</f>
        <v>14.585000000000001</v>
      </c>
      <c r="G210" s="74">
        <f>11.807-3.5+7-1</f>
        <v>14.307</v>
      </c>
      <c r="H210" s="75">
        <f>9.111-2+4+2</f>
        <v>13.111000000000001</v>
      </c>
      <c r="I210" s="75">
        <v>11.819000000000001</v>
      </c>
      <c r="J210" s="73">
        <v>52030070006</v>
      </c>
      <c r="K210" s="30" t="s">
        <v>1568</v>
      </c>
      <c r="L210" s="30" t="s">
        <v>1569</v>
      </c>
      <c r="M210" s="22" t="s">
        <v>107</v>
      </c>
      <c r="N210" s="22" t="s">
        <v>373</v>
      </c>
      <c r="O210" s="73" t="s">
        <v>381</v>
      </c>
      <c r="P210" s="22" t="s">
        <v>711</v>
      </c>
      <c r="Q210" s="22" t="s">
        <v>373</v>
      </c>
      <c r="R210" s="22">
        <v>11</v>
      </c>
      <c r="S210" s="21">
        <v>19</v>
      </c>
      <c r="T210" s="22">
        <v>18</v>
      </c>
      <c r="U210" s="21">
        <v>0</v>
      </c>
      <c r="V210" s="21">
        <v>5000</v>
      </c>
      <c r="W210" s="21">
        <v>1000</v>
      </c>
      <c r="X210" s="21">
        <v>2596</v>
      </c>
      <c r="Y210" s="94">
        <v>4000</v>
      </c>
      <c r="Z210" s="116">
        <v>5000</v>
      </c>
      <c r="AA210" s="87">
        <v>4762353855</v>
      </c>
      <c r="AB210" s="29">
        <v>2775800000</v>
      </c>
      <c r="AC210" s="29">
        <v>3592024000</v>
      </c>
      <c r="AD210" s="29">
        <v>3087150639</v>
      </c>
      <c r="AE210" s="29">
        <f t="shared" si="4"/>
        <v>14217328494</v>
      </c>
      <c r="AF210" s="30" t="s">
        <v>372</v>
      </c>
    </row>
    <row r="211" spans="1:32" ht="55.2" x14ac:dyDescent="0.3">
      <c r="A211" s="148"/>
      <c r="B211" s="159">
        <v>0</v>
      </c>
      <c r="C211" s="148"/>
      <c r="D211" s="160">
        <v>0</v>
      </c>
      <c r="E211" s="75">
        <v>8.8689999999999998</v>
      </c>
      <c r="F211" s="75">
        <v>7.3950000000000005</v>
      </c>
      <c r="G211" s="74">
        <f>8.556-2+0.8</f>
        <v>7.355999999999999</v>
      </c>
      <c r="H211" s="75">
        <f>7.204-3.5</f>
        <v>3.7039999999999997</v>
      </c>
      <c r="I211" s="75">
        <v>7.5050000000000008</v>
      </c>
      <c r="J211" s="73">
        <v>52030070007</v>
      </c>
      <c r="K211" s="30" t="s">
        <v>1570</v>
      </c>
      <c r="L211" s="30" t="s">
        <v>1571</v>
      </c>
      <c r="M211" s="22" t="s">
        <v>144</v>
      </c>
      <c r="N211" s="22" t="s">
        <v>373</v>
      </c>
      <c r="O211" s="73" t="s">
        <v>381</v>
      </c>
      <c r="P211" s="22" t="s">
        <v>712</v>
      </c>
      <c r="Q211" s="22" t="s">
        <v>373</v>
      </c>
      <c r="R211" s="22">
        <v>11</v>
      </c>
      <c r="S211" s="21">
        <v>45</v>
      </c>
      <c r="T211" s="22">
        <v>18</v>
      </c>
      <c r="U211" s="21">
        <v>18</v>
      </c>
      <c r="V211" s="21">
        <v>18</v>
      </c>
      <c r="W211" s="21">
        <v>18</v>
      </c>
      <c r="X211" s="21">
        <v>18</v>
      </c>
      <c r="Y211" s="94">
        <v>18</v>
      </c>
      <c r="Z211" s="116">
        <v>18</v>
      </c>
      <c r="AA211" s="87">
        <v>350378441</v>
      </c>
      <c r="AB211" s="29">
        <v>320000000</v>
      </c>
      <c r="AC211" s="29">
        <v>344720000</v>
      </c>
      <c r="AD211" s="29">
        <v>196905404</v>
      </c>
      <c r="AE211" s="29">
        <f t="shared" si="4"/>
        <v>1212003845</v>
      </c>
      <c r="AF211" s="30" t="s">
        <v>372</v>
      </c>
    </row>
    <row r="212" spans="1:32" ht="41.4" x14ac:dyDescent="0.3">
      <c r="A212" s="148"/>
      <c r="B212" s="159">
        <v>0</v>
      </c>
      <c r="C212" s="148"/>
      <c r="D212" s="160">
        <v>0</v>
      </c>
      <c r="E212" s="75">
        <v>8.73</v>
      </c>
      <c r="F212" s="75">
        <v>11.752000000000001</v>
      </c>
      <c r="G212" s="74">
        <v>12.821999999999999</v>
      </c>
      <c r="H212" s="75">
        <f>8.31+3.5</f>
        <v>11.81</v>
      </c>
      <c r="I212" s="75">
        <v>9.8159999999999989</v>
      </c>
      <c r="J212" s="73">
        <v>52030070008</v>
      </c>
      <c r="K212" s="30" t="s">
        <v>1572</v>
      </c>
      <c r="L212" s="30" t="s">
        <v>1573</v>
      </c>
      <c r="M212" s="22" t="s">
        <v>107</v>
      </c>
      <c r="N212" s="22" t="s">
        <v>373</v>
      </c>
      <c r="O212" s="73" t="s">
        <v>381</v>
      </c>
      <c r="P212" s="22" t="s">
        <v>713</v>
      </c>
      <c r="Q212" s="22" t="s">
        <v>373</v>
      </c>
      <c r="R212" s="22">
        <v>11</v>
      </c>
      <c r="S212" s="21">
        <v>40</v>
      </c>
      <c r="T212" s="22">
        <v>15</v>
      </c>
      <c r="U212" s="21">
        <v>91</v>
      </c>
      <c r="V212" s="21">
        <v>251</v>
      </c>
      <c r="W212" s="21">
        <v>123</v>
      </c>
      <c r="X212" s="21">
        <v>167</v>
      </c>
      <c r="Y212" s="94">
        <v>214</v>
      </c>
      <c r="Z212" s="116">
        <v>251</v>
      </c>
      <c r="AA212" s="87">
        <v>735050300</v>
      </c>
      <c r="AB212" s="29">
        <v>1500000000</v>
      </c>
      <c r="AC212" s="29">
        <v>2230654722</v>
      </c>
      <c r="AD212" s="29">
        <v>2800000000</v>
      </c>
      <c r="AE212" s="29">
        <f t="shared" si="4"/>
        <v>7265705022</v>
      </c>
      <c r="AF212" s="30" t="s">
        <v>363</v>
      </c>
    </row>
    <row r="213" spans="1:32" ht="41.4" x14ac:dyDescent="0.3">
      <c r="A213" s="148"/>
      <c r="B213" s="159">
        <v>0</v>
      </c>
      <c r="C213" s="148"/>
      <c r="D213" s="160">
        <v>0</v>
      </c>
      <c r="E213" s="75">
        <v>10.834000000000001</v>
      </c>
      <c r="F213" s="75">
        <f>24.582-4.8</f>
        <v>19.782</v>
      </c>
      <c r="G213" s="74">
        <f>26.109-3+5.5-7-3-2</f>
        <v>16.609000000000002</v>
      </c>
      <c r="H213" s="75">
        <f>23.682-5-2</f>
        <v>16.681999999999999</v>
      </c>
      <c r="I213" s="75">
        <v>21.302</v>
      </c>
      <c r="J213" s="73">
        <v>52030070009</v>
      </c>
      <c r="K213" s="30" t="s">
        <v>1574</v>
      </c>
      <c r="L213" s="30" t="s">
        <v>1575</v>
      </c>
      <c r="M213" s="22" t="s">
        <v>144</v>
      </c>
      <c r="N213" s="22" t="s">
        <v>377</v>
      </c>
      <c r="O213" s="73" t="s">
        <v>419</v>
      </c>
      <c r="P213" s="22" t="s">
        <v>714</v>
      </c>
      <c r="Q213" s="22" t="s">
        <v>377</v>
      </c>
      <c r="R213" s="22">
        <v>11</v>
      </c>
      <c r="S213" s="21">
        <v>24</v>
      </c>
      <c r="T213" s="22">
        <v>9</v>
      </c>
      <c r="U213" s="21">
        <v>40673</v>
      </c>
      <c r="V213" s="21">
        <v>95379</v>
      </c>
      <c r="W213" s="21">
        <v>42058.74</v>
      </c>
      <c r="X213" s="21">
        <v>50743.98</v>
      </c>
      <c r="Y213" s="94">
        <v>63113.91</v>
      </c>
      <c r="Z213" s="121">
        <v>95379</v>
      </c>
      <c r="AA213" s="87">
        <v>1062119587</v>
      </c>
      <c r="AB213" s="29">
        <v>2878757774</v>
      </c>
      <c r="AC213" s="29">
        <v>3081922578</v>
      </c>
      <c r="AD213" s="21">
        <v>4424567315</v>
      </c>
      <c r="AE213" s="29">
        <f t="shared" si="4"/>
        <v>11447367254</v>
      </c>
      <c r="AF213" s="30" t="s">
        <v>1142</v>
      </c>
    </row>
    <row r="214" spans="1:32" ht="165.6" x14ac:dyDescent="0.3">
      <c r="A214" s="148"/>
      <c r="B214" s="159">
        <v>0</v>
      </c>
      <c r="C214" s="148"/>
      <c r="D214" s="160">
        <v>0</v>
      </c>
      <c r="E214" s="75">
        <v>7.9649999999999999</v>
      </c>
      <c r="F214" s="75">
        <f>6.745-6.745</f>
        <v>0</v>
      </c>
      <c r="G214" s="74">
        <f>0+3+2-0.8</f>
        <v>4.2</v>
      </c>
      <c r="H214" s="75">
        <f>0+3</f>
        <v>3</v>
      </c>
      <c r="I214" s="75">
        <v>3.6769999999999996</v>
      </c>
      <c r="J214" s="73">
        <v>52030070010</v>
      </c>
      <c r="K214" s="30" t="s">
        <v>1576</v>
      </c>
      <c r="L214" s="30" t="s">
        <v>1577</v>
      </c>
      <c r="M214" s="22" t="s">
        <v>107</v>
      </c>
      <c r="N214" s="22" t="s">
        <v>373</v>
      </c>
      <c r="O214" s="73" t="s">
        <v>715</v>
      </c>
      <c r="P214" s="22" t="s">
        <v>716</v>
      </c>
      <c r="Q214" s="22" t="s">
        <v>373</v>
      </c>
      <c r="R214" s="22">
        <v>11</v>
      </c>
      <c r="S214" s="21">
        <v>32</v>
      </c>
      <c r="T214" s="22">
        <v>13</v>
      </c>
      <c r="U214" s="21">
        <v>0.45</v>
      </c>
      <c r="V214" s="21">
        <v>1</v>
      </c>
      <c r="W214" s="48">
        <v>0.7</v>
      </c>
      <c r="X214" s="21">
        <v>0</v>
      </c>
      <c r="Y214" s="94">
        <v>1</v>
      </c>
      <c r="Z214" s="116">
        <v>2</v>
      </c>
      <c r="AA214" s="87">
        <v>150000000</v>
      </c>
      <c r="AB214" s="29">
        <v>0</v>
      </c>
      <c r="AC214" s="29">
        <v>75000000</v>
      </c>
      <c r="AD214" s="29">
        <v>41910000</v>
      </c>
      <c r="AE214" s="29">
        <f t="shared" si="4"/>
        <v>266910000</v>
      </c>
      <c r="AF214" s="30" t="s">
        <v>363</v>
      </c>
    </row>
    <row r="215" spans="1:32" ht="55.2" x14ac:dyDescent="0.3">
      <c r="A215" s="148"/>
      <c r="B215" s="159">
        <v>0</v>
      </c>
      <c r="C215" s="148"/>
      <c r="D215" s="160">
        <v>0</v>
      </c>
      <c r="E215" s="75">
        <v>0</v>
      </c>
      <c r="F215" s="75">
        <f>8.383-8.383</f>
        <v>0</v>
      </c>
      <c r="G215" s="74">
        <f>10.164-5.2</f>
        <v>4.9639999999999995</v>
      </c>
      <c r="H215" s="75">
        <f>6.326+3-3-3.326</f>
        <v>3.0000000000000004</v>
      </c>
      <c r="I215" s="75">
        <v>6.218</v>
      </c>
      <c r="J215" s="73">
        <v>52030070011</v>
      </c>
      <c r="K215" s="30" t="s">
        <v>1578</v>
      </c>
      <c r="L215" s="30" t="s">
        <v>1579</v>
      </c>
      <c r="M215" s="22" t="s">
        <v>107</v>
      </c>
      <c r="N215" s="22" t="s">
        <v>373</v>
      </c>
      <c r="O215" s="73" t="s">
        <v>381</v>
      </c>
      <c r="P215" s="22" t="s">
        <v>717</v>
      </c>
      <c r="Q215" s="22" t="s">
        <v>373</v>
      </c>
      <c r="R215" s="22">
        <v>11</v>
      </c>
      <c r="S215" s="21">
        <v>32</v>
      </c>
      <c r="T215" s="22">
        <v>10</v>
      </c>
      <c r="U215" s="21">
        <v>16</v>
      </c>
      <c r="V215" s="21">
        <v>25</v>
      </c>
      <c r="W215" s="21">
        <v>0</v>
      </c>
      <c r="X215" s="21">
        <v>0</v>
      </c>
      <c r="Y215" s="94">
        <v>20</v>
      </c>
      <c r="Z215" s="116">
        <v>25</v>
      </c>
      <c r="AA215" s="87">
        <v>0</v>
      </c>
      <c r="AB215" s="29">
        <v>0</v>
      </c>
      <c r="AC215" s="29">
        <v>97365000</v>
      </c>
      <c r="AD215" s="49">
        <v>31400000</v>
      </c>
      <c r="AE215" s="29">
        <f t="shared" si="4"/>
        <v>128765000</v>
      </c>
      <c r="AF215" s="30" t="s">
        <v>363</v>
      </c>
    </row>
    <row r="216" spans="1:32" ht="41.4" x14ac:dyDescent="0.3">
      <c r="A216" s="148"/>
      <c r="B216" s="159">
        <v>0</v>
      </c>
      <c r="C216" s="148"/>
      <c r="D216" s="160">
        <v>0</v>
      </c>
      <c r="E216" s="75">
        <v>8.5040000000000013</v>
      </c>
      <c r="F216" s="75">
        <f>6.447-6.447+4.8</f>
        <v>4.8</v>
      </c>
      <c r="G216" s="74">
        <f>0+2+3.5-5.5+5.2</f>
        <v>5.2</v>
      </c>
      <c r="H216" s="75">
        <f>0+3.326</f>
        <v>3.3260000000000001</v>
      </c>
      <c r="I216" s="75">
        <v>6.9830000000000005</v>
      </c>
      <c r="J216" s="73">
        <v>52030070012</v>
      </c>
      <c r="K216" s="30" t="s">
        <v>1580</v>
      </c>
      <c r="L216" s="30" t="s">
        <v>1581</v>
      </c>
      <c r="M216" s="22" t="s">
        <v>144</v>
      </c>
      <c r="N216" s="22" t="s">
        <v>373</v>
      </c>
      <c r="O216" s="73" t="s">
        <v>381</v>
      </c>
      <c r="P216" s="22" t="s">
        <v>718</v>
      </c>
      <c r="Q216" s="22" t="s">
        <v>373</v>
      </c>
      <c r="R216" s="22">
        <v>11</v>
      </c>
      <c r="S216" s="21">
        <v>40</v>
      </c>
      <c r="T216" s="22">
        <v>15</v>
      </c>
      <c r="U216" s="21">
        <v>1</v>
      </c>
      <c r="V216" s="21">
        <v>1</v>
      </c>
      <c r="W216" s="48">
        <v>0.2</v>
      </c>
      <c r="X216" s="48">
        <v>1</v>
      </c>
      <c r="Y216" s="94">
        <v>1</v>
      </c>
      <c r="Z216" s="21">
        <v>1</v>
      </c>
      <c r="AA216" s="87">
        <v>1000000000</v>
      </c>
      <c r="AB216" s="29">
        <v>86376000</v>
      </c>
      <c r="AC216" s="29">
        <v>200000000</v>
      </c>
      <c r="AD216" s="49">
        <v>136008000</v>
      </c>
      <c r="AE216" s="29">
        <f t="shared" si="4"/>
        <v>1422384000</v>
      </c>
      <c r="AF216" s="30" t="s">
        <v>363</v>
      </c>
    </row>
    <row r="217" spans="1:32" ht="38.25" customHeight="1" x14ac:dyDescent="0.3">
      <c r="A217" s="148"/>
      <c r="B217" s="159">
        <v>0</v>
      </c>
      <c r="C217" s="148" t="s">
        <v>1582</v>
      </c>
      <c r="D217" s="160">
        <v>10.977</v>
      </c>
      <c r="E217" s="75">
        <v>0</v>
      </c>
      <c r="F217" s="75">
        <v>0</v>
      </c>
      <c r="G217" s="74">
        <f>6.102-3-3.102</f>
        <v>0</v>
      </c>
      <c r="H217" s="75">
        <f>0+4+3.5-7.5</f>
        <v>0</v>
      </c>
      <c r="I217" s="75">
        <v>1.526</v>
      </c>
      <c r="J217" s="73">
        <v>52030080001</v>
      </c>
      <c r="K217" s="30" t="s">
        <v>1583</v>
      </c>
      <c r="L217" s="30" t="s">
        <v>1584</v>
      </c>
      <c r="M217" s="22" t="s">
        <v>107</v>
      </c>
      <c r="N217" s="22" t="s">
        <v>373</v>
      </c>
      <c r="O217" s="73" t="s">
        <v>381</v>
      </c>
      <c r="P217" s="22" t="s">
        <v>719</v>
      </c>
      <c r="Q217" s="22" t="s">
        <v>373</v>
      </c>
      <c r="R217" s="22">
        <v>11</v>
      </c>
      <c r="S217" s="21">
        <v>45</v>
      </c>
      <c r="T217" s="22">
        <v>17</v>
      </c>
      <c r="U217" s="21">
        <v>0</v>
      </c>
      <c r="V217" s="21">
        <v>1</v>
      </c>
      <c r="W217" s="21">
        <v>0</v>
      </c>
      <c r="X217" s="21">
        <v>0</v>
      </c>
      <c r="Y217" s="94">
        <v>0</v>
      </c>
      <c r="Z217" s="116">
        <v>0</v>
      </c>
      <c r="AA217" s="87">
        <v>0</v>
      </c>
      <c r="AB217" s="29">
        <v>0</v>
      </c>
      <c r="AC217" s="29">
        <v>0</v>
      </c>
      <c r="AD217" s="29">
        <v>0</v>
      </c>
      <c r="AE217" s="29">
        <f t="shared" si="4"/>
        <v>0</v>
      </c>
      <c r="AF217" s="30" t="s">
        <v>1141</v>
      </c>
    </row>
    <row r="218" spans="1:32" ht="69" x14ac:dyDescent="0.3">
      <c r="A218" s="148"/>
      <c r="B218" s="159">
        <v>0</v>
      </c>
      <c r="C218" s="148"/>
      <c r="D218" s="160">
        <v>0</v>
      </c>
      <c r="E218" s="75">
        <v>6.2850000000000001</v>
      </c>
      <c r="F218" s="75">
        <v>4.5809999999999995</v>
      </c>
      <c r="G218" s="74">
        <f>4.439+3</f>
        <v>7.4390000000000001</v>
      </c>
      <c r="H218" s="75">
        <v>7.5520000000000005</v>
      </c>
      <c r="I218" s="75">
        <v>5.7140000000000004</v>
      </c>
      <c r="J218" s="73">
        <v>52030080002</v>
      </c>
      <c r="K218" s="30" t="s">
        <v>1585</v>
      </c>
      <c r="L218" s="30" t="s">
        <v>1586</v>
      </c>
      <c r="M218" s="22" t="s">
        <v>107</v>
      </c>
      <c r="N218" s="22" t="s">
        <v>373</v>
      </c>
      <c r="O218" s="73" t="s">
        <v>381</v>
      </c>
      <c r="P218" s="22" t="s">
        <v>720</v>
      </c>
      <c r="Q218" s="22" t="s">
        <v>373</v>
      </c>
      <c r="R218" s="22">
        <v>11</v>
      </c>
      <c r="S218" s="21">
        <v>45</v>
      </c>
      <c r="T218" s="22">
        <v>17</v>
      </c>
      <c r="U218" s="21">
        <v>0</v>
      </c>
      <c r="V218" s="21">
        <v>39</v>
      </c>
      <c r="W218" s="21">
        <v>8</v>
      </c>
      <c r="X218" s="21">
        <v>11</v>
      </c>
      <c r="Y218" s="94">
        <v>25</v>
      </c>
      <c r="Z218" s="116">
        <v>39</v>
      </c>
      <c r="AA218" s="87">
        <v>199628396</v>
      </c>
      <c r="AB218" s="29">
        <v>502063261</v>
      </c>
      <c r="AC218" s="29">
        <v>1020236738</v>
      </c>
      <c r="AD218" s="29">
        <v>870379254</v>
      </c>
      <c r="AE218" s="29">
        <f t="shared" si="4"/>
        <v>2592307649</v>
      </c>
      <c r="AF218" s="30" t="s">
        <v>1141</v>
      </c>
    </row>
    <row r="219" spans="1:32" ht="82.8" x14ac:dyDescent="0.3">
      <c r="A219" s="148"/>
      <c r="B219" s="159">
        <v>0</v>
      </c>
      <c r="C219" s="148"/>
      <c r="D219" s="160">
        <v>0</v>
      </c>
      <c r="E219" s="75">
        <v>7.011000000000001</v>
      </c>
      <c r="F219" s="75">
        <v>6.0220000000000002</v>
      </c>
      <c r="G219" s="74">
        <v>4.7709999999999999</v>
      </c>
      <c r="H219" s="75">
        <f>7.982-2</f>
        <v>5.9820000000000002</v>
      </c>
      <c r="I219" s="75">
        <v>6.4470000000000001</v>
      </c>
      <c r="J219" s="73">
        <v>52030080003</v>
      </c>
      <c r="K219" s="30" t="s">
        <v>1587</v>
      </c>
      <c r="L219" s="30" t="s">
        <v>1588</v>
      </c>
      <c r="M219" s="22" t="s">
        <v>107</v>
      </c>
      <c r="N219" s="22" t="s">
        <v>373</v>
      </c>
      <c r="O219" s="73" t="s">
        <v>721</v>
      </c>
      <c r="P219" s="22" t="s">
        <v>722</v>
      </c>
      <c r="Q219" s="22" t="s">
        <v>373</v>
      </c>
      <c r="R219" s="22">
        <v>11</v>
      </c>
      <c r="S219" s="21">
        <v>45</v>
      </c>
      <c r="T219" s="22">
        <v>16</v>
      </c>
      <c r="U219" s="21">
        <v>0</v>
      </c>
      <c r="V219" s="21">
        <v>69</v>
      </c>
      <c r="W219" s="21">
        <v>6</v>
      </c>
      <c r="X219" s="21">
        <v>5</v>
      </c>
      <c r="Y219" s="94">
        <v>23</v>
      </c>
      <c r="Z219" s="116">
        <v>69</v>
      </c>
      <c r="AA219" s="87">
        <v>708344294</v>
      </c>
      <c r="AB219" s="29">
        <v>761560311</v>
      </c>
      <c r="AC219" s="29">
        <v>356251213</v>
      </c>
      <c r="AD219" s="29">
        <v>602912000</v>
      </c>
      <c r="AE219" s="29">
        <f t="shared" si="4"/>
        <v>2429067818</v>
      </c>
      <c r="AF219" s="30" t="s">
        <v>1141</v>
      </c>
    </row>
    <row r="220" spans="1:32" ht="165.6" x14ac:dyDescent="0.3">
      <c r="A220" s="148"/>
      <c r="B220" s="159">
        <v>0</v>
      </c>
      <c r="C220" s="148"/>
      <c r="D220" s="160">
        <v>0</v>
      </c>
      <c r="E220" s="75">
        <v>9.1550000000000011</v>
      </c>
      <c r="F220" s="75">
        <f>8.315+5</f>
        <v>13.315</v>
      </c>
      <c r="G220" s="74">
        <f>4.031+3+5.551</f>
        <v>12.582000000000001</v>
      </c>
      <c r="H220" s="75">
        <v>10.378</v>
      </c>
      <c r="I220" s="75">
        <v>7.9699999999999989</v>
      </c>
      <c r="J220" s="73">
        <v>52030080004</v>
      </c>
      <c r="K220" s="30" t="s">
        <v>1589</v>
      </c>
      <c r="L220" s="30" t="s">
        <v>1590</v>
      </c>
      <c r="M220" s="22" t="s">
        <v>107</v>
      </c>
      <c r="N220" s="22" t="s">
        <v>374</v>
      </c>
      <c r="O220" s="73" t="s">
        <v>723</v>
      </c>
      <c r="P220" s="22" t="s">
        <v>724</v>
      </c>
      <c r="Q220" s="22" t="s">
        <v>373</v>
      </c>
      <c r="R220" s="22">
        <v>3</v>
      </c>
      <c r="S220" s="21">
        <v>19</v>
      </c>
      <c r="T220" s="22">
        <v>2</v>
      </c>
      <c r="U220" s="21">
        <v>67</v>
      </c>
      <c r="V220" s="21">
        <v>74</v>
      </c>
      <c r="W220" s="21">
        <v>71</v>
      </c>
      <c r="X220" s="21">
        <v>72</v>
      </c>
      <c r="Y220" s="94">
        <v>73</v>
      </c>
      <c r="Z220" s="116">
        <v>74</v>
      </c>
      <c r="AA220" s="87">
        <v>2210746668</v>
      </c>
      <c r="AB220" s="29">
        <v>4500000000</v>
      </c>
      <c r="AC220" s="29">
        <v>4500000000</v>
      </c>
      <c r="AD220" s="29">
        <v>3500000000</v>
      </c>
      <c r="AE220" s="29">
        <f t="shared" si="4"/>
        <v>14710746668</v>
      </c>
      <c r="AF220" s="30" t="s">
        <v>356</v>
      </c>
    </row>
    <row r="221" spans="1:32" ht="124.2" x14ac:dyDescent="0.3">
      <c r="A221" s="148"/>
      <c r="B221" s="159">
        <v>0</v>
      </c>
      <c r="C221" s="148"/>
      <c r="D221" s="160">
        <v>0</v>
      </c>
      <c r="E221" s="75">
        <v>21.404999999999998</v>
      </c>
      <c r="F221" s="75">
        <f>18.82+5+3.17+3.038</f>
        <v>30.028000000000002</v>
      </c>
      <c r="G221" s="74">
        <f>11.931+16-3</f>
        <v>24.930999999999997</v>
      </c>
      <c r="H221" s="75">
        <f>13.113+7.5+9.658+2-3.5</f>
        <v>28.771000000000001</v>
      </c>
      <c r="I221" s="75">
        <v>16.317</v>
      </c>
      <c r="J221" s="73">
        <v>52030080005</v>
      </c>
      <c r="K221" s="30" t="s">
        <v>1591</v>
      </c>
      <c r="L221" s="30" t="s">
        <v>1592</v>
      </c>
      <c r="M221" s="22" t="s">
        <v>107</v>
      </c>
      <c r="N221" s="22" t="s">
        <v>373</v>
      </c>
      <c r="O221" s="73" t="s">
        <v>486</v>
      </c>
      <c r="P221" s="22" t="s">
        <v>725</v>
      </c>
      <c r="Q221" s="22" t="s">
        <v>373</v>
      </c>
      <c r="R221" s="22">
        <v>11</v>
      </c>
      <c r="S221" s="21">
        <v>43</v>
      </c>
      <c r="T221" s="22">
        <v>4</v>
      </c>
      <c r="U221" s="21">
        <v>1652</v>
      </c>
      <c r="V221" s="21">
        <v>2652</v>
      </c>
      <c r="W221" s="21">
        <v>1902</v>
      </c>
      <c r="X221" s="21">
        <v>1969</v>
      </c>
      <c r="Y221" s="94">
        <v>2473</v>
      </c>
      <c r="Z221" s="116">
        <v>2652</v>
      </c>
      <c r="AA221" s="87">
        <v>31812282062</v>
      </c>
      <c r="AB221" s="29">
        <v>25948333012</v>
      </c>
      <c r="AC221" s="29">
        <v>19625345528</v>
      </c>
      <c r="AD221" s="21">
        <v>23477263798</v>
      </c>
      <c r="AE221" s="29">
        <f t="shared" si="4"/>
        <v>100863224400</v>
      </c>
      <c r="AF221" s="30" t="s">
        <v>369</v>
      </c>
    </row>
    <row r="222" spans="1:32" ht="41.4" x14ac:dyDescent="0.3">
      <c r="A222" s="148"/>
      <c r="B222" s="159">
        <v>0</v>
      </c>
      <c r="C222" s="148"/>
      <c r="D222" s="160">
        <v>0</v>
      </c>
      <c r="E222" s="75">
        <v>0</v>
      </c>
      <c r="F222" s="75">
        <v>0</v>
      </c>
      <c r="G222" s="74">
        <v>4.2</v>
      </c>
      <c r="H222" s="96">
        <f>0+5.5</f>
        <v>5.5</v>
      </c>
      <c r="I222" s="75">
        <v>1.05</v>
      </c>
      <c r="J222" s="73">
        <v>52030080006</v>
      </c>
      <c r="K222" s="30" t="s">
        <v>1593</v>
      </c>
      <c r="L222" s="30" t="s">
        <v>1594</v>
      </c>
      <c r="M222" s="22" t="s">
        <v>107</v>
      </c>
      <c r="N222" s="22" t="s">
        <v>373</v>
      </c>
      <c r="O222" s="73" t="s">
        <v>381</v>
      </c>
      <c r="P222" s="22" t="s">
        <v>726</v>
      </c>
      <c r="Q222" s="22" t="s">
        <v>373</v>
      </c>
      <c r="R222" s="22">
        <v>11</v>
      </c>
      <c r="S222" s="21">
        <v>43</v>
      </c>
      <c r="T222" s="22">
        <v>4</v>
      </c>
      <c r="U222" s="21">
        <v>0</v>
      </c>
      <c r="V222" s="21">
        <v>1</v>
      </c>
      <c r="W222" s="21">
        <v>0</v>
      </c>
      <c r="X222" s="21">
        <v>0</v>
      </c>
      <c r="Y222" s="94">
        <v>1</v>
      </c>
      <c r="Z222" s="122">
        <v>1</v>
      </c>
      <c r="AA222" s="87">
        <v>0</v>
      </c>
      <c r="AB222" s="29">
        <v>0</v>
      </c>
      <c r="AC222" s="29">
        <v>215210200</v>
      </c>
      <c r="AD222" s="29">
        <v>397476133</v>
      </c>
      <c r="AE222" s="29">
        <f t="shared" si="4"/>
        <v>612686333</v>
      </c>
      <c r="AF222" s="30" t="s">
        <v>369</v>
      </c>
    </row>
    <row r="223" spans="1:32" ht="82.8" x14ac:dyDescent="0.3">
      <c r="A223" s="148"/>
      <c r="B223" s="159">
        <v>0</v>
      </c>
      <c r="C223" s="148"/>
      <c r="D223" s="160">
        <v>0</v>
      </c>
      <c r="E223" s="75">
        <v>7.8029999999999999</v>
      </c>
      <c r="F223" s="75">
        <v>6.7830000000000004</v>
      </c>
      <c r="G223" s="74">
        <f>6.997+3.102</f>
        <v>10.099</v>
      </c>
      <c r="H223" s="75">
        <f>10.514-3.5+2+4-2-1</f>
        <v>10.013999999999999</v>
      </c>
      <c r="I223" s="75">
        <v>8.0240000000000009</v>
      </c>
      <c r="J223" s="73">
        <v>52030080007</v>
      </c>
      <c r="K223" s="30" t="s">
        <v>1595</v>
      </c>
      <c r="L223" s="30" t="s">
        <v>1596</v>
      </c>
      <c r="M223" s="22" t="s">
        <v>144</v>
      </c>
      <c r="N223" s="22" t="s">
        <v>373</v>
      </c>
      <c r="O223" s="73" t="s">
        <v>381</v>
      </c>
      <c r="P223" s="22" t="s">
        <v>727</v>
      </c>
      <c r="Q223" s="22" t="s">
        <v>373</v>
      </c>
      <c r="R223" s="22">
        <v>11</v>
      </c>
      <c r="S223" s="21">
        <v>33</v>
      </c>
      <c r="T223" s="22">
        <v>5</v>
      </c>
      <c r="U223" s="21">
        <v>49</v>
      </c>
      <c r="V223" s="21">
        <v>50</v>
      </c>
      <c r="W223" s="21">
        <v>41</v>
      </c>
      <c r="X223" s="21">
        <v>44</v>
      </c>
      <c r="Y223" s="94">
        <v>45</v>
      </c>
      <c r="Z223" s="116">
        <v>50</v>
      </c>
      <c r="AA223" s="87">
        <v>562784434</v>
      </c>
      <c r="AB223" s="29">
        <v>1949730747</v>
      </c>
      <c r="AC223" s="29">
        <v>3016605885</v>
      </c>
      <c r="AD223" s="29">
        <v>2571463626</v>
      </c>
      <c r="AE223" s="29">
        <f t="shared" si="4"/>
        <v>8100584692</v>
      </c>
      <c r="AF223" s="30" t="s">
        <v>355</v>
      </c>
    </row>
    <row r="224" spans="1:32" ht="69" x14ac:dyDescent="0.3">
      <c r="A224" s="148"/>
      <c r="B224" s="159">
        <v>0</v>
      </c>
      <c r="C224" s="148"/>
      <c r="D224" s="160">
        <v>0</v>
      </c>
      <c r="E224" s="75">
        <v>13.846</v>
      </c>
      <c r="F224" s="75">
        <f>14.598+3.426</f>
        <v>18.024000000000001</v>
      </c>
      <c r="G224" s="74">
        <f>11.631+8.243+3</f>
        <v>22.874000000000002</v>
      </c>
      <c r="H224" s="75">
        <f>10.365+7.66</f>
        <v>18.024999999999999</v>
      </c>
      <c r="I224" s="75">
        <v>12.61</v>
      </c>
      <c r="J224" s="73">
        <v>52030080008</v>
      </c>
      <c r="K224" s="30" t="s">
        <v>1597</v>
      </c>
      <c r="L224" s="30" t="s">
        <v>1598</v>
      </c>
      <c r="M224" s="22" t="s">
        <v>107</v>
      </c>
      <c r="N224" s="22" t="s">
        <v>373</v>
      </c>
      <c r="O224" s="73" t="s">
        <v>381</v>
      </c>
      <c r="P224" s="22" t="s">
        <v>728</v>
      </c>
      <c r="Q224" s="22" t="s">
        <v>373</v>
      </c>
      <c r="R224" s="22">
        <v>4</v>
      </c>
      <c r="S224" s="21">
        <v>22</v>
      </c>
      <c r="T224" s="22">
        <v>1</v>
      </c>
      <c r="U224" s="21">
        <v>264</v>
      </c>
      <c r="V224" s="21">
        <v>376</v>
      </c>
      <c r="W224" s="21">
        <v>333</v>
      </c>
      <c r="X224" s="21">
        <v>310</v>
      </c>
      <c r="Y224" s="94">
        <v>362</v>
      </c>
      <c r="Z224" s="116">
        <v>376</v>
      </c>
      <c r="AA224" s="87">
        <v>16007084907</v>
      </c>
      <c r="AB224" s="29">
        <v>10759025449</v>
      </c>
      <c r="AC224" s="29">
        <v>20551423042</v>
      </c>
      <c r="AD224" s="29">
        <v>9801546182</v>
      </c>
      <c r="AE224" s="29">
        <f t="shared" si="4"/>
        <v>57119079580</v>
      </c>
      <c r="AF224" s="30" t="s">
        <v>358</v>
      </c>
    </row>
    <row r="225" spans="1:32" ht="69" x14ac:dyDescent="0.3">
      <c r="A225" s="148"/>
      <c r="B225" s="159">
        <v>0</v>
      </c>
      <c r="C225" s="148"/>
      <c r="D225" s="160">
        <v>0</v>
      </c>
      <c r="E225" s="75">
        <v>17.567</v>
      </c>
      <c r="F225" s="75">
        <v>21.247</v>
      </c>
      <c r="G225" s="74">
        <f>32.104-3.5-3-16</f>
        <v>9.6039999999999992</v>
      </c>
      <c r="H225" s="75">
        <f>22.778-4-4-4-1</f>
        <v>9.7779999999999987</v>
      </c>
      <c r="I225" s="75">
        <v>23.423999999999999</v>
      </c>
      <c r="J225" s="73">
        <v>52030080009</v>
      </c>
      <c r="K225" s="30" t="s">
        <v>1599</v>
      </c>
      <c r="L225" s="30" t="s">
        <v>1600</v>
      </c>
      <c r="M225" s="22" t="s">
        <v>107</v>
      </c>
      <c r="N225" s="22" t="s">
        <v>373</v>
      </c>
      <c r="O225" s="73" t="s">
        <v>381</v>
      </c>
      <c r="P225" s="22" t="s">
        <v>729</v>
      </c>
      <c r="Q225" s="22" t="s">
        <v>373</v>
      </c>
      <c r="R225" s="22">
        <v>4</v>
      </c>
      <c r="S225" s="21">
        <v>22</v>
      </c>
      <c r="T225" s="22">
        <v>15</v>
      </c>
      <c r="U225" s="21">
        <v>31</v>
      </c>
      <c r="V225" s="21">
        <v>44</v>
      </c>
      <c r="W225" s="21">
        <v>35</v>
      </c>
      <c r="X225" s="21">
        <v>32</v>
      </c>
      <c r="Y225" s="94">
        <v>33</v>
      </c>
      <c r="Z225" s="116">
        <v>44</v>
      </c>
      <c r="AA225" s="87">
        <v>17913169604</v>
      </c>
      <c r="AB225" s="29">
        <v>4222842287</v>
      </c>
      <c r="AC225" s="29">
        <v>1853816215</v>
      </c>
      <c r="AD225" s="29">
        <v>1755428588</v>
      </c>
      <c r="AE225" s="29">
        <f t="shared" si="4"/>
        <v>25745256694</v>
      </c>
      <c r="AF225" s="30" t="s">
        <v>358</v>
      </c>
    </row>
    <row r="226" spans="1:32" ht="165.6" x14ac:dyDescent="0.3">
      <c r="A226" s="148"/>
      <c r="B226" s="159">
        <v>0</v>
      </c>
      <c r="C226" s="148"/>
      <c r="D226" s="160">
        <v>0</v>
      </c>
      <c r="E226" s="75">
        <v>8.2140000000000004</v>
      </c>
      <c r="F226" s="75">
        <f>3.426-3.426</f>
        <v>0</v>
      </c>
      <c r="G226" s="74">
        <f>0+3.5</f>
        <v>3.5</v>
      </c>
      <c r="H226" s="75">
        <f>0+4</f>
        <v>4</v>
      </c>
      <c r="I226" s="75">
        <v>2.91</v>
      </c>
      <c r="J226" s="73">
        <v>52030080010</v>
      </c>
      <c r="K226" s="30" t="s">
        <v>1601</v>
      </c>
      <c r="L226" s="30" t="s">
        <v>1602</v>
      </c>
      <c r="M226" s="22" t="s">
        <v>107</v>
      </c>
      <c r="N226" s="22" t="s">
        <v>373</v>
      </c>
      <c r="O226" s="73" t="s">
        <v>715</v>
      </c>
      <c r="P226" s="22" t="s">
        <v>730</v>
      </c>
      <c r="Q226" s="22" t="s">
        <v>373</v>
      </c>
      <c r="R226" s="22">
        <v>11</v>
      </c>
      <c r="S226" s="21">
        <v>40</v>
      </c>
      <c r="T226" s="22">
        <v>15</v>
      </c>
      <c r="U226" s="21">
        <v>0.45</v>
      </c>
      <c r="V226" s="21">
        <v>1</v>
      </c>
      <c r="W226" s="48">
        <v>0.7</v>
      </c>
      <c r="X226" s="21">
        <v>0</v>
      </c>
      <c r="Y226" s="94">
        <v>1</v>
      </c>
      <c r="Z226" s="21">
        <v>1</v>
      </c>
      <c r="AA226" s="87">
        <v>150000000</v>
      </c>
      <c r="AB226" s="29">
        <v>0</v>
      </c>
      <c r="AC226" s="29">
        <v>75000000</v>
      </c>
      <c r="AD226" s="29">
        <v>34925000</v>
      </c>
      <c r="AE226" s="29">
        <f t="shared" si="4"/>
        <v>259925000</v>
      </c>
      <c r="AF226" s="30" t="s">
        <v>363</v>
      </c>
    </row>
    <row r="227" spans="1:32" ht="41.4" x14ac:dyDescent="0.3">
      <c r="A227" s="148"/>
      <c r="B227" s="159">
        <v>0</v>
      </c>
      <c r="C227" s="148"/>
      <c r="D227" s="160">
        <v>0</v>
      </c>
      <c r="E227" s="75">
        <v>8.7139999999999986</v>
      </c>
      <c r="F227" s="75">
        <f>13.038-3.038-5-5</f>
        <v>0</v>
      </c>
      <c r="G227" s="74">
        <f>8.243-8.243</f>
        <v>0</v>
      </c>
      <c r="H227" s="75">
        <f>9.658-9.658</f>
        <v>0</v>
      </c>
      <c r="I227" s="75">
        <v>9.9130000000000003</v>
      </c>
      <c r="J227" s="73">
        <v>52030080011</v>
      </c>
      <c r="K227" s="30" t="s">
        <v>1603</v>
      </c>
      <c r="L227" s="30" t="s">
        <v>1604</v>
      </c>
      <c r="M227" s="22" t="s">
        <v>144</v>
      </c>
      <c r="N227" s="22" t="s">
        <v>373</v>
      </c>
      <c r="O227" s="73" t="s">
        <v>488</v>
      </c>
      <c r="P227" s="22" t="s">
        <v>731</v>
      </c>
      <c r="Q227" s="22" t="s">
        <v>373</v>
      </c>
      <c r="R227" s="22">
        <v>3</v>
      </c>
      <c r="S227" s="21">
        <v>43</v>
      </c>
      <c r="T227" s="22">
        <v>4</v>
      </c>
      <c r="U227" s="21">
        <v>0</v>
      </c>
      <c r="V227" s="21">
        <v>1</v>
      </c>
      <c r="W227" s="48">
        <v>0.1</v>
      </c>
      <c r="X227" s="21">
        <v>0</v>
      </c>
      <c r="Y227" s="94">
        <v>0</v>
      </c>
      <c r="Z227" s="121">
        <v>0</v>
      </c>
      <c r="AA227" s="87">
        <v>500000000</v>
      </c>
      <c r="AB227" s="29">
        <v>0</v>
      </c>
      <c r="AC227" s="29">
        <v>0</v>
      </c>
      <c r="AD227" s="29">
        <v>0</v>
      </c>
      <c r="AE227" s="29">
        <f t="shared" si="4"/>
        <v>500000000</v>
      </c>
      <c r="AF227" s="30" t="s">
        <v>369</v>
      </c>
    </row>
    <row r="228" spans="1:32" ht="41.4" x14ac:dyDescent="0.3">
      <c r="A228" s="148"/>
      <c r="B228" s="159">
        <v>0</v>
      </c>
      <c r="C228" s="148"/>
      <c r="D228" s="160">
        <v>0</v>
      </c>
      <c r="E228" s="75">
        <v>0</v>
      </c>
      <c r="F228" s="75">
        <f>3.17-3.17</f>
        <v>0</v>
      </c>
      <c r="G228" s="74">
        <f>5.551-5.551</f>
        <v>0</v>
      </c>
      <c r="H228" s="75">
        <f>7.66-7.66</f>
        <v>0</v>
      </c>
      <c r="I228" s="75">
        <v>4.0949999999999998</v>
      </c>
      <c r="J228" s="73">
        <v>52030080012</v>
      </c>
      <c r="K228" s="30" t="s">
        <v>1605</v>
      </c>
      <c r="L228" s="30" t="s">
        <v>1606</v>
      </c>
      <c r="M228" s="22" t="s">
        <v>107</v>
      </c>
      <c r="N228" s="22" t="s">
        <v>373</v>
      </c>
      <c r="O228" s="73" t="s">
        <v>381</v>
      </c>
      <c r="P228" s="22" t="s">
        <v>732</v>
      </c>
      <c r="Q228" s="22" t="s">
        <v>373</v>
      </c>
      <c r="R228" s="22">
        <v>3</v>
      </c>
      <c r="S228" s="21">
        <v>40</v>
      </c>
      <c r="T228" s="22">
        <v>15</v>
      </c>
      <c r="U228" s="21">
        <v>0</v>
      </c>
      <c r="V228" s="21">
        <v>1</v>
      </c>
      <c r="W228" s="48">
        <v>0</v>
      </c>
      <c r="X228" s="48">
        <v>0</v>
      </c>
      <c r="Y228" s="94">
        <v>0</v>
      </c>
      <c r="Z228" s="21">
        <v>0</v>
      </c>
      <c r="AA228" s="87">
        <v>0</v>
      </c>
      <c r="AB228" s="29">
        <v>0</v>
      </c>
      <c r="AC228" s="29">
        <v>0</v>
      </c>
      <c r="AD228" s="29">
        <v>0</v>
      </c>
      <c r="AE228" s="29">
        <f t="shared" si="4"/>
        <v>0</v>
      </c>
      <c r="AF228" s="30" t="s">
        <v>363</v>
      </c>
    </row>
    <row r="229" spans="1:32" ht="96.6" x14ac:dyDescent="0.3">
      <c r="A229" s="148"/>
      <c r="B229" s="159">
        <v>0</v>
      </c>
      <c r="C229" s="148" t="s">
        <v>1607</v>
      </c>
      <c r="D229" s="160">
        <v>11.432</v>
      </c>
      <c r="E229" s="75">
        <v>10.94</v>
      </c>
      <c r="F229" s="75">
        <v>9.8159999999999989</v>
      </c>
      <c r="G229" s="74">
        <f>9.436-9.436</f>
        <v>0</v>
      </c>
      <c r="H229" s="75">
        <f>9.171+2</f>
        <v>11.170999999999999</v>
      </c>
      <c r="I229" s="75">
        <v>9.8409999999999993</v>
      </c>
      <c r="J229" s="73">
        <v>52030090001</v>
      </c>
      <c r="K229" s="30" t="s">
        <v>1608</v>
      </c>
      <c r="L229" s="30" t="s">
        <v>1609</v>
      </c>
      <c r="M229" s="22" t="s">
        <v>107</v>
      </c>
      <c r="N229" s="22" t="s">
        <v>375</v>
      </c>
      <c r="O229" s="73" t="s">
        <v>733</v>
      </c>
      <c r="P229" s="22" t="s">
        <v>734</v>
      </c>
      <c r="Q229" s="22" t="s">
        <v>375</v>
      </c>
      <c r="R229" s="22">
        <v>7</v>
      </c>
      <c r="S229" s="21">
        <v>21</v>
      </c>
      <c r="T229" s="22">
        <v>6</v>
      </c>
      <c r="U229" s="21">
        <v>0</v>
      </c>
      <c r="V229" s="21">
        <v>23</v>
      </c>
      <c r="W229" s="48">
        <v>5.2</v>
      </c>
      <c r="X229" s="48">
        <v>6.2</v>
      </c>
      <c r="Y229" s="102">
        <v>0</v>
      </c>
      <c r="Z229" s="121">
        <v>23</v>
      </c>
      <c r="AA229" s="87">
        <v>4434147000</v>
      </c>
      <c r="AB229" s="29">
        <v>720000000</v>
      </c>
      <c r="AC229" s="29">
        <v>0</v>
      </c>
      <c r="AD229" s="29">
        <v>19459147000</v>
      </c>
      <c r="AE229" s="29">
        <f t="shared" si="4"/>
        <v>24613294000</v>
      </c>
      <c r="AF229" s="30" t="s">
        <v>365</v>
      </c>
    </row>
    <row r="230" spans="1:32" ht="41.4" x14ac:dyDescent="0.3">
      <c r="A230" s="148"/>
      <c r="B230" s="159">
        <v>0</v>
      </c>
      <c r="C230" s="148"/>
      <c r="D230" s="160">
        <v>0</v>
      </c>
      <c r="E230" s="75">
        <v>7.072000000000001</v>
      </c>
      <c r="F230" s="75">
        <f>7.89-7.89</f>
        <v>0</v>
      </c>
      <c r="G230" s="74">
        <v>7.5399999999999991</v>
      </c>
      <c r="H230" s="75">
        <f>7.441-2</f>
        <v>5.4409999999999998</v>
      </c>
      <c r="I230" s="75">
        <v>7.4859999999999998</v>
      </c>
      <c r="J230" s="73">
        <v>52030090002</v>
      </c>
      <c r="K230" s="30" t="s">
        <v>1610</v>
      </c>
      <c r="L230" s="30" t="s">
        <v>1611</v>
      </c>
      <c r="M230" s="22" t="s">
        <v>107</v>
      </c>
      <c r="N230" s="22" t="s">
        <v>373</v>
      </c>
      <c r="O230" s="73" t="s">
        <v>381</v>
      </c>
      <c r="P230" s="22" t="s">
        <v>735</v>
      </c>
      <c r="Q230" s="22" t="s">
        <v>373</v>
      </c>
      <c r="R230" s="22">
        <v>6</v>
      </c>
      <c r="S230" s="21">
        <v>40</v>
      </c>
      <c r="T230" s="22">
        <v>3</v>
      </c>
      <c r="U230" s="21">
        <v>35</v>
      </c>
      <c r="V230" s="21">
        <v>47</v>
      </c>
      <c r="W230" s="21">
        <v>37</v>
      </c>
      <c r="X230" s="21">
        <v>0</v>
      </c>
      <c r="Y230" s="102">
        <v>47</v>
      </c>
      <c r="Z230" s="116">
        <v>47</v>
      </c>
      <c r="AA230" s="87">
        <v>800000000</v>
      </c>
      <c r="AB230" s="29">
        <v>0</v>
      </c>
      <c r="AC230" s="29">
        <v>10300020299</v>
      </c>
      <c r="AD230" s="29">
        <v>1483911836</v>
      </c>
      <c r="AE230" s="29">
        <f t="shared" si="4"/>
        <v>12583932135</v>
      </c>
      <c r="AF230" s="30" t="s">
        <v>359</v>
      </c>
    </row>
    <row r="231" spans="1:32" ht="55.2" x14ac:dyDescent="0.3">
      <c r="A231" s="148"/>
      <c r="B231" s="159">
        <v>0</v>
      </c>
      <c r="C231" s="148"/>
      <c r="D231" s="160">
        <v>0</v>
      </c>
      <c r="E231" s="75">
        <v>11.302</v>
      </c>
      <c r="F231" s="75">
        <f>9.751-9.751</f>
        <v>0</v>
      </c>
      <c r="G231" s="74">
        <f>8.925+2</f>
        <v>10.925000000000001</v>
      </c>
      <c r="H231" s="75">
        <f>6.447-1</f>
        <v>5.4470000000000001</v>
      </c>
      <c r="I231" s="75">
        <v>9.1059999999999999</v>
      </c>
      <c r="J231" s="73">
        <v>52030090003</v>
      </c>
      <c r="K231" s="30" t="s">
        <v>1612</v>
      </c>
      <c r="L231" s="30" t="s">
        <v>1613</v>
      </c>
      <c r="M231" s="22" t="s">
        <v>144</v>
      </c>
      <c r="N231" s="22" t="s">
        <v>373</v>
      </c>
      <c r="O231" s="73" t="s">
        <v>381</v>
      </c>
      <c r="P231" s="22" t="s">
        <v>736</v>
      </c>
      <c r="Q231" s="22" t="s">
        <v>373</v>
      </c>
      <c r="R231" s="22">
        <v>6</v>
      </c>
      <c r="S231" s="21">
        <v>40</v>
      </c>
      <c r="T231" s="22">
        <v>3</v>
      </c>
      <c r="U231" s="21">
        <v>35</v>
      </c>
      <c r="V231" s="21">
        <v>30</v>
      </c>
      <c r="W231" s="21">
        <v>9</v>
      </c>
      <c r="X231" s="21">
        <v>0</v>
      </c>
      <c r="Y231" s="102">
        <v>23</v>
      </c>
      <c r="Z231" s="116">
        <v>30</v>
      </c>
      <c r="AA231" s="87">
        <v>11421612518</v>
      </c>
      <c r="AB231" s="29">
        <v>0</v>
      </c>
      <c r="AC231" s="29">
        <v>11130023710</v>
      </c>
      <c r="AD231" s="21">
        <v>4303630459</v>
      </c>
      <c r="AE231" s="29">
        <f t="shared" si="4"/>
        <v>26855266687</v>
      </c>
      <c r="AF231" s="30" t="s">
        <v>359</v>
      </c>
    </row>
    <row r="232" spans="1:32" ht="110.4" x14ac:dyDescent="0.3">
      <c r="A232" s="148"/>
      <c r="B232" s="159">
        <v>0</v>
      </c>
      <c r="C232" s="148"/>
      <c r="D232" s="160">
        <v>0</v>
      </c>
      <c r="E232" s="75">
        <v>23.09</v>
      </c>
      <c r="F232" s="75">
        <v>24.773</v>
      </c>
      <c r="G232" s="74">
        <f>16.057+3</f>
        <v>19.056999999999999</v>
      </c>
      <c r="H232" s="75">
        <f>35.189-3.5-8-2</f>
        <v>21.689</v>
      </c>
      <c r="I232" s="75">
        <v>25.728000000000002</v>
      </c>
      <c r="J232" s="73">
        <v>52030090004</v>
      </c>
      <c r="K232" s="30" t="s">
        <v>1614</v>
      </c>
      <c r="L232" s="30" t="s">
        <v>1615</v>
      </c>
      <c r="M232" s="22" t="s">
        <v>144</v>
      </c>
      <c r="N232" s="22" t="s">
        <v>373</v>
      </c>
      <c r="O232" s="73" t="s">
        <v>381</v>
      </c>
      <c r="P232" s="22" t="s">
        <v>737</v>
      </c>
      <c r="Q232" s="22" t="s">
        <v>373</v>
      </c>
      <c r="R232" s="22">
        <v>1</v>
      </c>
      <c r="S232" s="21">
        <v>40</v>
      </c>
      <c r="T232" s="22">
        <v>3</v>
      </c>
      <c r="U232" s="21">
        <v>440267</v>
      </c>
      <c r="V232" s="21">
        <v>462205</v>
      </c>
      <c r="W232" s="21">
        <v>455341</v>
      </c>
      <c r="X232" s="21">
        <v>457618</v>
      </c>
      <c r="Y232" s="94">
        <v>459906</v>
      </c>
      <c r="Z232" s="116">
        <v>462205</v>
      </c>
      <c r="AA232" s="87">
        <v>29922975854</v>
      </c>
      <c r="AB232" s="29">
        <v>30672274080</v>
      </c>
      <c r="AC232" s="29">
        <v>33988247321</v>
      </c>
      <c r="AD232" s="21">
        <v>29876804678</v>
      </c>
      <c r="AE232" s="29">
        <f t="shared" si="4"/>
        <v>124460301933</v>
      </c>
      <c r="AF232" s="30" t="s">
        <v>359</v>
      </c>
    </row>
    <row r="233" spans="1:32" ht="55.2" x14ac:dyDescent="0.3">
      <c r="A233" s="148"/>
      <c r="B233" s="159">
        <v>0</v>
      </c>
      <c r="C233" s="148"/>
      <c r="D233" s="160">
        <v>0</v>
      </c>
      <c r="E233" s="75">
        <v>18.126000000000001</v>
      </c>
      <c r="F233" s="75">
        <v>10.385999999999999</v>
      </c>
      <c r="G233" s="74">
        <f>9.802+1.921+2</f>
        <v>13.722999999999999</v>
      </c>
      <c r="H233" s="75">
        <f>11.754+2</f>
        <v>13.754</v>
      </c>
      <c r="I233" s="75">
        <v>12.516999999999999</v>
      </c>
      <c r="J233" s="73">
        <v>52030090005</v>
      </c>
      <c r="K233" s="30" t="s">
        <v>1616</v>
      </c>
      <c r="L233" s="30" t="s">
        <v>1617</v>
      </c>
      <c r="M233" s="22" t="s">
        <v>144</v>
      </c>
      <c r="N233" s="22" t="s">
        <v>373</v>
      </c>
      <c r="O233" s="73" t="s">
        <v>381</v>
      </c>
      <c r="P233" s="22" t="s">
        <v>738</v>
      </c>
      <c r="Q233" s="22" t="s">
        <v>373</v>
      </c>
      <c r="R233" s="22">
        <v>1</v>
      </c>
      <c r="S233" s="21">
        <v>40</v>
      </c>
      <c r="T233" s="22">
        <v>3</v>
      </c>
      <c r="U233" s="21">
        <v>220426</v>
      </c>
      <c r="V233" s="21">
        <v>258885</v>
      </c>
      <c r="W233" s="21">
        <v>236916</v>
      </c>
      <c r="X233" s="21">
        <v>244023</v>
      </c>
      <c r="Y233" s="94">
        <v>251344</v>
      </c>
      <c r="Z233" s="116">
        <v>258885</v>
      </c>
      <c r="AA233" s="87">
        <v>19500000000</v>
      </c>
      <c r="AB233" s="29">
        <v>21375862062</v>
      </c>
      <c r="AC233" s="29">
        <v>21938389284</v>
      </c>
      <c r="AD233" s="29">
        <v>22462278369</v>
      </c>
      <c r="AE233" s="29">
        <f t="shared" si="4"/>
        <v>85276529715</v>
      </c>
      <c r="AF233" s="30" t="s">
        <v>359</v>
      </c>
    </row>
    <row r="234" spans="1:32" ht="165.6" x14ac:dyDescent="0.3">
      <c r="A234" s="148"/>
      <c r="B234" s="159">
        <v>0</v>
      </c>
      <c r="C234" s="148"/>
      <c r="D234" s="160">
        <v>0</v>
      </c>
      <c r="E234" s="75">
        <v>0</v>
      </c>
      <c r="F234" s="75">
        <f>10.674-10.674</f>
        <v>0</v>
      </c>
      <c r="G234" s="74">
        <f>7.3-2-2</f>
        <v>3.3</v>
      </c>
      <c r="H234" s="75">
        <f>0+3.5</f>
        <v>3.5</v>
      </c>
      <c r="I234" s="75">
        <v>2.6679999999999997</v>
      </c>
      <c r="J234" s="73">
        <v>52030090006</v>
      </c>
      <c r="K234" s="30" t="s">
        <v>1618</v>
      </c>
      <c r="L234" s="30" t="s">
        <v>1619</v>
      </c>
      <c r="M234" s="22" t="s">
        <v>107</v>
      </c>
      <c r="N234" s="22" t="s">
        <v>373</v>
      </c>
      <c r="O234" s="73" t="s">
        <v>739</v>
      </c>
      <c r="P234" s="22" t="s">
        <v>740</v>
      </c>
      <c r="Q234" s="22" t="s">
        <v>373</v>
      </c>
      <c r="R234" s="22">
        <v>6</v>
      </c>
      <c r="S234" s="21">
        <v>40</v>
      </c>
      <c r="T234" s="22">
        <v>17</v>
      </c>
      <c r="U234" s="21">
        <v>0.15</v>
      </c>
      <c r="V234" s="21">
        <v>1</v>
      </c>
      <c r="W234" s="48">
        <v>0</v>
      </c>
      <c r="X234" s="48">
        <v>0</v>
      </c>
      <c r="Y234" s="102">
        <v>0.4</v>
      </c>
      <c r="Z234" s="116">
        <v>1</v>
      </c>
      <c r="AA234" s="87">
        <v>0</v>
      </c>
      <c r="AB234" s="29">
        <v>0</v>
      </c>
      <c r="AC234" s="29">
        <v>1200000000</v>
      </c>
      <c r="AD234" s="29">
        <v>485619000</v>
      </c>
      <c r="AE234" s="29">
        <f t="shared" si="4"/>
        <v>1685619000</v>
      </c>
      <c r="AF234" s="30" t="s">
        <v>363</v>
      </c>
    </row>
    <row r="235" spans="1:32" ht="124.2" x14ac:dyDescent="0.3">
      <c r="A235" s="148"/>
      <c r="B235" s="159">
        <v>0</v>
      </c>
      <c r="C235" s="148"/>
      <c r="D235" s="160">
        <v>0</v>
      </c>
      <c r="E235" s="75">
        <v>7.011000000000001</v>
      </c>
      <c r="F235" s="75">
        <f>5.021+7.89</f>
        <v>12.911</v>
      </c>
      <c r="G235" s="74">
        <v>11.494999999999999</v>
      </c>
      <c r="H235" s="75">
        <f>7.597+8.702+8-2</f>
        <v>22.298999999999999</v>
      </c>
      <c r="I235" s="75">
        <v>8.6560000000000006</v>
      </c>
      <c r="J235" s="73">
        <v>52030090007</v>
      </c>
      <c r="K235" s="30" t="s">
        <v>1620</v>
      </c>
      <c r="L235" s="30" t="s">
        <v>1621</v>
      </c>
      <c r="M235" s="22" t="s">
        <v>107</v>
      </c>
      <c r="N235" s="22" t="s">
        <v>374</v>
      </c>
      <c r="O235" s="73" t="s">
        <v>741</v>
      </c>
      <c r="P235" s="22" t="s">
        <v>742</v>
      </c>
      <c r="Q235" s="22" t="s">
        <v>373</v>
      </c>
      <c r="R235" s="22">
        <v>6</v>
      </c>
      <c r="S235" s="21">
        <v>32</v>
      </c>
      <c r="T235" s="22">
        <v>3</v>
      </c>
      <c r="U235" s="21">
        <v>0</v>
      </c>
      <c r="V235" s="21">
        <v>100</v>
      </c>
      <c r="W235" s="21">
        <v>10</v>
      </c>
      <c r="X235" s="21">
        <v>20</v>
      </c>
      <c r="Y235" s="94">
        <v>20</v>
      </c>
      <c r="Z235" s="116">
        <v>100</v>
      </c>
      <c r="AA235" s="87">
        <v>8000000</v>
      </c>
      <c r="AB235" s="29">
        <v>13979478948</v>
      </c>
      <c r="AC235" s="29">
        <v>10505791468</v>
      </c>
      <c r="AD235" s="29">
        <v>30599423894</v>
      </c>
      <c r="AE235" s="29">
        <f t="shared" si="4"/>
        <v>55092694310</v>
      </c>
      <c r="AF235" s="30" t="s">
        <v>365</v>
      </c>
    </row>
    <row r="236" spans="1:32" ht="41.4" x14ac:dyDescent="0.3">
      <c r="A236" s="148"/>
      <c r="B236" s="159">
        <v>0</v>
      </c>
      <c r="C236" s="148"/>
      <c r="D236" s="160">
        <v>0</v>
      </c>
      <c r="E236" s="75">
        <v>10.365</v>
      </c>
      <c r="F236" s="75">
        <f>5.261+9.751</f>
        <v>15.012</v>
      </c>
      <c r="G236" s="74">
        <f>9.091+4</f>
        <v>13.090999999999999</v>
      </c>
      <c r="H236" s="75">
        <v>5.7540000000000004</v>
      </c>
      <c r="I236" s="75">
        <v>7.617</v>
      </c>
      <c r="J236" s="73">
        <v>52030090008</v>
      </c>
      <c r="K236" s="30" t="s">
        <v>1622</v>
      </c>
      <c r="L236" s="30" t="s">
        <v>1623</v>
      </c>
      <c r="M236" s="22" t="s">
        <v>107</v>
      </c>
      <c r="N236" s="22" t="s">
        <v>378</v>
      </c>
      <c r="O236" s="73" t="s">
        <v>733</v>
      </c>
      <c r="P236" s="22" t="s">
        <v>743</v>
      </c>
      <c r="Q236" s="22" t="s">
        <v>378</v>
      </c>
      <c r="R236" s="22">
        <v>6</v>
      </c>
      <c r="S236" s="21">
        <v>32</v>
      </c>
      <c r="T236" s="22">
        <v>3</v>
      </c>
      <c r="U236" s="21">
        <v>6443</v>
      </c>
      <c r="V236" s="21">
        <v>27054</v>
      </c>
      <c r="W236" s="21">
        <v>11286</v>
      </c>
      <c r="X236" s="21">
        <v>16480</v>
      </c>
      <c r="Y236" s="94">
        <v>21619</v>
      </c>
      <c r="Z236" s="116">
        <f>27164+6527</f>
        <v>33691</v>
      </c>
      <c r="AA236" s="87">
        <v>3257871519</v>
      </c>
      <c r="AB236" s="29">
        <v>27366802241</v>
      </c>
      <c r="AC236" s="29">
        <v>22441531065</v>
      </c>
      <c r="AD236" s="29">
        <v>10375990179</v>
      </c>
      <c r="AE236" s="29">
        <f t="shared" si="4"/>
        <v>63442195004</v>
      </c>
      <c r="AF236" s="30" t="s">
        <v>365</v>
      </c>
    </row>
    <row r="237" spans="1:32" ht="41.4" x14ac:dyDescent="0.3">
      <c r="A237" s="148"/>
      <c r="B237" s="159">
        <v>0</v>
      </c>
      <c r="C237" s="148"/>
      <c r="D237" s="160">
        <v>0</v>
      </c>
      <c r="E237" s="75">
        <v>12.094000000000001</v>
      </c>
      <c r="F237" s="75">
        <f>8.235+10.674+8.193</f>
        <v>27.101999999999997</v>
      </c>
      <c r="G237" s="74">
        <f>11.433+9.436</f>
        <v>20.869</v>
      </c>
      <c r="H237" s="75">
        <f>7.945+2+1</f>
        <v>10.945</v>
      </c>
      <c r="I237" s="75">
        <v>9.9269999999999996</v>
      </c>
      <c r="J237" s="73">
        <v>52030090009</v>
      </c>
      <c r="K237" s="30" t="s">
        <v>1624</v>
      </c>
      <c r="L237" s="30" t="s">
        <v>1625</v>
      </c>
      <c r="M237" s="22" t="s">
        <v>107</v>
      </c>
      <c r="N237" s="22" t="s">
        <v>378</v>
      </c>
      <c r="O237" s="73" t="s">
        <v>733</v>
      </c>
      <c r="P237" s="22" t="s">
        <v>744</v>
      </c>
      <c r="Q237" s="22" t="s">
        <v>378</v>
      </c>
      <c r="R237" s="22">
        <v>6</v>
      </c>
      <c r="S237" s="21">
        <v>32</v>
      </c>
      <c r="T237" s="22">
        <v>3</v>
      </c>
      <c r="U237" s="21">
        <v>6114</v>
      </c>
      <c r="V237" s="21">
        <v>25012</v>
      </c>
      <c r="W237" s="21">
        <v>9655</v>
      </c>
      <c r="X237" s="21">
        <v>14339</v>
      </c>
      <c r="Y237" s="94">
        <v>19547</v>
      </c>
      <c r="Z237" s="116">
        <v>25012</v>
      </c>
      <c r="AA237" s="87">
        <v>5294920000</v>
      </c>
      <c r="AB237" s="29">
        <v>49490669020</v>
      </c>
      <c r="AC237" s="29">
        <v>35231960117</v>
      </c>
      <c r="AD237" s="29">
        <v>18131304764</v>
      </c>
      <c r="AE237" s="29">
        <f t="shared" si="4"/>
        <v>108148853901</v>
      </c>
      <c r="AF237" s="30" t="s">
        <v>365</v>
      </c>
    </row>
    <row r="238" spans="1:32" ht="69" x14ac:dyDescent="0.3">
      <c r="A238" s="148"/>
      <c r="B238" s="159">
        <v>0</v>
      </c>
      <c r="C238" s="148"/>
      <c r="D238" s="160">
        <v>0</v>
      </c>
      <c r="E238" s="75">
        <v>0</v>
      </c>
      <c r="F238" s="75">
        <f>8.193-8.193</f>
        <v>0</v>
      </c>
      <c r="G238" s="74">
        <f>8.921-3-4-1.921</f>
        <v>0</v>
      </c>
      <c r="H238" s="75">
        <f>8.702-8.702</f>
        <v>0</v>
      </c>
      <c r="I238" s="75">
        <v>6.4539999999999997</v>
      </c>
      <c r="J238" s="73">
        <v>52030090010</v>
      </c>
      <c r="K238" s="30" t="s">
        <v>1626</v>
      </c>
      <c r="L238" s="30" t="s">
        <v>1627</v>
      </c>
      <c r="M238" s="22" t="s">
        <v>144</v>
      </c>
      <c r="N238" s="22" t="s">
        <v>373</v>
      </c>
      <c r="O238" s="73" t="s">
        <v>381</v>
      </c>
      <c r="P238" s="22" t="s">
        <v>745</v>
      </c>
      <c r="Q238" s="22" t="s">
        <v>373</v>
      </c>
      <c r="R238" s="22">
        <v>6</v>
      </c>
      <c r="S238" s="21">
        <v>40</v>
      </c>
      <c r="T238" s="22">
        <v>3</v>
      </c>
      <c r="U238" s="21">
        <v>0</v>
      </c>
      <c r="V238" s="21">
        <v>12</v>
      </c>
      <c r="W238" s="21">
        <v>0</v>
      </c>
      <c r="X238" s="21">
        <v>0</v>
      </c>
      <c r="Y238" s="102">
        <v>0</v>
      </c>
      <c r="Z238" s="116">
        <v>0</v>
      </c>
      <c r="AA238" s="87">
        <v>0</v>
      </c>
      <c r="AB238" s="29">
        <v>0</v>
      </c>
      <c r="AC238" s="29">
        <v>0</v>
      </c>
      <c r="AD238" s="29">
        <v>0</v>
      </c>
      <c r="AE238" s="29">
        <f t="shared" si="4"/>
        <v>0</v>
      </c>
      <c r="AF238" s="30" t="s">
        <v>359</v>
      </c>
    </row>
    <row r="239" spans="1:32" ht="63.75" customHeight="1" x14ac:dyDescent="0.3">
      <c r="A239" s="148"/>
      <c r="B239" s="159">
        <v>0</v>
      </c>
      <c r="C239" s="148" t="s">
        <v>1628</v>
      </c>
      <c r="D239" s="160">
        <v>7.2889999999999997</v>
      </c>
      <c r="E239" s="75">
        <v>22.792999999999999</v>
      </c>
      <c r="F239" s="75">
        <f>10.82+7.396-7.396</f>
        <v>10.82</v>
      </c>
      <c r="G239" s="75">
        <v>11.03</v>
      </c>
      <c r="H239" s="75">
        <f>11.041+3</f>
        <v>14.041</v>
      </c>
      <c r="I239" s="75">
        <v>13.919999999999998</v>
      </c>
      <c r="J239" s="73">
        <v>52030100001</v>
      </c>
      <c r="K239" s="30" t="s">
        <v>1629</v>
      </c>
      <c r="L239" s="30" t="s">
        <v>1630</v>
      </c>
      <c r="M239" s="22" t="s">
        <v>144</v>
      </c>
      <c r="N239" s="22" t="s">
        <v>373</v>
      </c>
      <c r="O239" s="73" t="s">
        <v>381</v>
      </c>
      <c r="P239" s="22" t="s">
        <v>746</v>
      </c>
      <c r="Q239" s="22" t="s">
        <v>373</v>
      </c>
      <c r="R239" s="22">
        <v>3</v>
      </c>
      <c r="S239" s="21">
        <v>43</v>
      </c>
      <c r="T239" s="22">
        <v>4</v>
      </c>
      <c r="U239" s="21">
        <v>0</v>
      </c>
      <c r="V239" s="21">
        <v>25</v>
      </c>
      <c r="W239" s="21">
        <v>25</v>
      </c>
      <c r="X239" s="21">
        <v>25</v>
      </c>
      <c r="Y239" s="94">
        <v>25</v>
      </c>
      <c r="Z239" s="116">
        <v>25</v>
      </c>
      <c r="AA239" s="87">
        <v>400000000</v>
      </c>
      <c r="AB239" s="29">
        <v>402288535</v>
      </c>
      <c r="AC239" s="29">
        <v>767768480</v>
      </c>
      <c r="AD239" s="29">
        <v>1023622000</v>
      </c>
      <c r="AE239" s="29">
        <f t="shared" si="4"/>
        <v>2593679015</v>
      </c>
      <c r="AF239" s="30" t="s">
        <v>369</v>
      </c>
    </row>
    <row r="240" spans="1:32" ht="55.2" x14ac:dyDescent="0.3">
      <c r="A240" s="148"/>
      <c r="B240" s="159">
        <v>0</v>
      </c>
      <c r="C240" s="148"/>
      <c r="D240" s="160">
        <v>0</v>
      </c>
      <c r="E240" s="75">
        <v>0</v>
      </c>
      <c r="F240" s="75">
        <f>8.267-8.267</f>
        <v>0</v>
      </c>
      <c r="G240" s="75">
        <v>9.2989999999999995</v>
      </c>
      <c r="H240" s="75">
        <f>9.301-3-6.301</f>
        <v>0</v>
      </c>
      <c r="I240" s="75">
        <v>6.7169999999999996</v>
      </c>
      <c r="J240" s="73">
        <v>52030100002</v>
      </c>
      <c r="K240" s="30" t="s">
        <v>1631</v>
      </c>
      <c r="L240" s="30" t="s">
        <v>1632</v>
      </c>
      <c r="M240" s="22" t="s">
        <v>107</v>
      </c>
      <c r="N240" s="22" t="s">
        <v>373</v>
      </c>
      <c r="O240" s="73" t="s">
        <v>381</v>
      </c>
      <c r="P240" s="22" t="s">
        <v>747</v>
      </c>
      <c r="Q240" s="22" t="s">
        <v>373</v>
      </c>
      <c r="R240" s="22">
        <v>3</v>
      </c>
      <c r="S240" s="21">
        <v>43</v>
      </c>
      <c r="T240" s="22">
        <v>4</v>
      </c>
      <c r="U240" s="21">
        <v>0</v>
      </c>
      <c r="V240" s="21">
        <v>3</v>
      </c>
      <c r="W240" s="21">
        <v>0</v>
      </c>
      <c r="X240" s="21">
        <v>0</v>
      </c>
      <c r="Y240" s="94">
        <v>3</v>
      </c>
      <c r="Z240" s="116">
        <v>0</v>
      </c>
      <c r="AA240" s="87">
        <v>0</v>
      </c>
      <c r="AB240" s="29">
        <v>0</v>
      </c>
      <c r="AC240" s="29">
        <v>352970362</v>
      </c>
      <c r="AD240" s="21">
        <v>0</v>
      </c>
      <c r="AE240" s="29">
        <f t="shared" si="4"/>
        <v>352970362</v>
      </c>
      <c r="AF240" s="30" t="s">
        <v>369</v>
      </c>
    </row>
    <row r="241" spans="1:32" ht="55.2" x14ac:dyDescent="0.3">
      <c r="A241" s="148"/>
      <c r="B241" s="159">
        <v>0</v>
      </c>
      <c r="C241" s="148"/>
      <c r="D241" s="160">
        <v>0</v>
      </c>
      <c r="E241" s="75">
        <v>0</v>
      </c>
      <c r="F241" s="75">
        <f>7.396-7.396+4.487+7.396</f>
        <v>11.882999999999999</v>
      </c>
      <c r="G241" s="75">
        <v>0</v>
      </c>
      <c r="H241" s="75">
        <v>0</v>
      </c>
      <c r="I241" s="75">
        <v>1.849</v>
      </c>
      <c r="J241" s="73">
        <v>52030100003</v>
      </c>
      <c r="K241" s="30" t="s">
        <v>1633</v>
      </c>
      <c r="L241" s="30" t="s">
        <v>1634</v>
      </c>
      <c r="M241" s="22" t="s">
        <v>107</v>
      </c>
      <c r="N241" s="22" t="s">
        <v>373</v>
      </c>
      <c r="O241" s="73" t="s">
        <v>381</v>
      </c>
      <c r="P241" s="22" t="s">
        <v>748</v>
      </c>
      <c r="Q241" s="22" t="s">
        <v>373</v>
      </c>
      <c r="R241" s="22">
        <v>3</v>
      </c>
      <c r="S241" s="21">
        <v>43</v>
      </c>
      <c r="T241" s="22">
        <v>4</v>
      </c>
      <c r="U241" s="21">
        <v>0</v>
      </c>
      <c r="V241" s="21">
        <v>1</v>
      </c>
      <c r="W241" s="21">
        <v>0</v>
      </c>
      <c r="X241" s="21">
        <v>1</v>
      </c>
      <c r="Y241" s="94">
        <v>0</v>
      </c>
      <c r="Z241" s="116">
        <v>0</v>
      </c>
      <c r="AA241" s="87">
        <v>0</v>
      </c>
      <c r="AB241" s="29">
        <v>400000000</v>
      </c>
      <c r="AC241" s="29">
        <v>0</v>
      </c>
      <c r="AD241" s="29">
        <v>0</v>
      </c>
      <c r="AE241" s="29">
        <f t="shared" si="4"/>
        <v>400000000</v>
      </c>
      <c r="AF241" s="30" t="s">
        <v>369</v>
      </c>
    </row>
    <row r="242" spans="1:32" ht="55.2" x14ac:dyDescent="0.3">
      <c r="A242" s="148"/>
      <c r="B242" s="159">
        <v>0</v>
      </c>
      <c r="C242" s="148"/>
      <c r="D242" s="160">
        <v>0</v>
      </c>
      <c r="E242" s="75">
        <v>0</v>
      </c>
      <c r="F242" s="75">
        <f>8.718-8.718+8.718</f>
        <v>8.718</v>
      </c>
      <c r="G242" s="75">
        <v>10.842000000000001</v>
      </c>
      <c r="H242" s="75">
        <v>10.847999999999999</v>
      </c>
      <c r="I242" s="75">
        <v>7.6020000000000003</v>
      </c>
      <c r="J242" s="73">
        <v>52030100004</v>
      </c>
      <c r="K242" s="30" t="s">
        <v>1635</v>
      </c>
      <c r="L242" s="30" t="s">
        <v>1636</v>
      </c>
      <c r="M242" s="22" t="s">
        <v>107</v>
      </c>
      <c r="N242" s="22" t="s">
        <v>373</v>
      </c>
      <c r="O242" s="73" t="s">
        <v>381</v>
      </c>
      <c r="P242" s="22" t="s">
        <v>749</v>
      </c>
      <c r="Q242" s="22" t="s">
        <v>373</v>
      </c>
      <c r="R242" s="22">
        <v>3</v>
      </c>
      <c r="S242" s="21">
        <v>43</v>
      </c>
      <c r="T242" s="22">
        <v>4</v>
      </c>
      <c r="U242" s="21">
        <v>0</v>
      </c>
      <c r="V242" s="21">
        <v>150</v>
      </c>
      <c r="W242" s="21">
        <v>0</v>
      </c>
      <c r="X242" s="21">
        <v>15</v>
      </c>
      <c r="Y242" s="94">
        <v>85</v>
      </c>
      <c r="Z242" s="116">
        <v>150</v>
      </c>
      <c r="AA242" s="87">
        <v>0</v>
      </c>
      <c r="AB242" s="29">
        <v>150000000</v>
      </c>
      <c r="AC242" s="56">
        <v>2301223680</v>
      </c>
      <c r="AD242" s="21">
        <v>227008000</v>
      </c>
      <c r="AE242" s="29">
        <f t="shared" si="4"/>
        <v>2678231680</v>
      </c>
      <c r="AF242" s="30" t="s">
        <v>369</v>
      </c>
    </row>
    <row r="243" spans="1:32" ht="55.2" x14ac:dyDescent="0.3">
      <c r="A243" s="148"/>
      <c r="B243" s="159">
        <v>0</v>
      </c>
      <c r="C243" s="148"/>
      <c r="D243" s="160">
        <v>0</v>
      </c>
      <c r="E243" s="75">
        <v>0</v>
      </c>
      <c r="F243" s="75">
        <v>6.4359999999999999</v>
      </c>
      <c r="G243" s="75">
        <v>8.4420000000000002</v>
      </c>
      <c r="H243" s="75">
        <v>8.4420000000000002</v>
      </c>
      <c r="I243" s="75">
        <v>5.83</v>
      </c>
      <c r="J243" s="73">
        <v>52030100005</v>
      </c>
      <c r="K243" s="30" t="s">
        <v>1637</v>
      </c>
      <c r="L243" s="30" t="s">
        <v>1638</v>
      </c>
      <c r="M243" s="22" t="s">
        <v>144</v>
      </c>
      <c r="N243" s="22" t="s">
        <v>373</v>
      </c>
      <c r="O243" s="73" t="s">
        <v>381</v>
      </c>
      <c r="P243" s="22" t="s">
        <v>750</v>
      </c>
      <c r="Q243" s="22" t="s">
        <v>373</v>
      </c>
      <c r="R243" s="22">
        <v>3</v>
      </c>
      <c r="S243" s="21">
        <v>43</v>
      </c>
      <c r="T243" s="22">
        <v>4</v>
      </c>
      <c r="U243" s="21">
        <v>0</v>
      </c>
      <c r="V243" s="21">
        <v>3</v>
      </c>
      <c r="W243" s="21">
        <v>0</v>
      </c>
      <c r="X243" s="21">
        <v>3</v>
      </c>
      <c r="Y243" s="94">
        <v>1</v>
      </c>
      <c r="Z243" s="116">
        <v>3</v>
      </c>
      <c r="AA243" s="87">
        <v>0</v>
      </c>
      <c r="AB243" s="29">
        <v>31000000</v>
      </c>
      <c r="AC243" s="29">
        <v>140055680</v>
      </c>
      <c r="AD243" s="29">
        <v>100000000</v>
      </c>
      <c r="AE243" s="29">
        <f t="shared" si="4"/>
        <v>271055680</v>
      </c>
      <c r="AF243" s="30" t="s">
        <v>369</v>
      </c>
    </row>
    <row r="244" spans="1:32" ht="55.2" x14ac:dyDescent="0.3">
      <c r="A244" s="148"/>
      <c r="B244" s="159">
        <v>0</v>
      </c>
      <c r="C244" s="148"/>
      <c r="D244" s="160">
        <v>0</v>
      </c>
      <c r="E244" s="75">
        <v>33.585999999999999</v>
      </c>
      <c r="F244" s="75">
        <f>18.284+8.267+6.487-4.487</f>
        <v>28.550999999999995</v>
      </c>
      <c r="G244" s="75">
        <v>17.641000000000002</v>
      </c>
      <c r="H244" s="75">
        <f>17.659+6.301</f>
        <v>23.96</v>
      </c>
      <c r="I244" s="75">
        <v>21.793000000000003</v>
      </c>
      <c r="J244" s="73">
        <v>52030100006</v>
      </c>
      <c r="K244" s="30" t="s">
        <v>1639</v>
      </c>
      <c r="L244" s="30" t="s">
        <v>1640</v>
      </c>
      <c r="M244" s="22" t="s">
        <v>107</v>
      </c>
      <c r="N244" s="22" t="s">
        <v>373</v>
      </c>
      <c r="O244" s="73" t="s">
        <v>381</v>
      </c>
      <c r="P244" s="22" t="s">
        <v>751</v>
      </c>
      <c r="Q244" s="22" t="s">
        <v>373</v>
      </c>
      <c r="R244" s="22">
        <v>3</v>
      </c>
      <c r="S244" s="21">
        <v>43</v>
      </c>
      <c r="T244" s="22">
        <v>4</v>
      </c>
      <c r="U244" s="21">
        <v>19</v>
      </c>
      <c r="V244" s="21">
        <v>35</v>
      </c>
      <c r="W244" s="21">
        <v>23</v>
      </c>
      <c r="X244" s="21">
        <v>27</v>
      </c>
      <c r="Y244" s="94">
        <v>31</v>
      </c>
      <c r="Z244" s="116">
        <v>35</v>
      </c>
      <c r="AA244" s="87">
        <v>800000000</v>
      </c>
      <c r="AB244" s="29">
        <v>843524080</v>
      </c>
      <c r="AC244" s="29">
        <v>1502965000</v>
      </c>
      <c r="AD244" s="29">
        <v>2001786000</v>
      </c>
      <c r="AE244" s="29">
        <f t="shared" si="4"/>
        <v>5148275080</v>
      </c>
      <c r="AF244" s="30" t="s">
        <v>369</v>
      </c>
    </row>
    <row r="245" spans="1:32" ht="55.2" x14ac:dyDescent="0.3">
      <c r="A245" s="148"/>
      <c r="B245" s="159">
        <v>0</v>
      </c>
      <c r="C245" s="148"/>
      <c r="D245" s="160">
        <v>0</v>
      </c>
      <c r="E245" s="75">
        <v>43.620999999999995</v>
      </c>
      <c r="F245" s="75">
        <f>30.592+8.718+3-8.718</f>
        <v>33.591999999999999</v>
      </c>
      <c r="G245" s="75">
        <v>32.208999999999996</v>
      </c>
      <c r="H245" s="75">
        <v>32.24</v>
      </c>
      <c r="I245" s="75">
        <v>34.666000000000004</v>
      </c>
      <c r="J245" s="73">
        <v>52030100007</v>
      </c>
      <c r="K245" s="30" t="s">
        <v>1641</v>
      </c>
      <c r="L245" s="30" t="s">
        <v>1642</v>
      </c>
      <c r="M245" s="22" t="s">
        <v>144</v>
      </c>
      <c r="N245" s="22" t="s">
        <v>373</v>
      </c>
      <c r="O245" s="73" t="s">
        <v>381</v>
      </c>
      <c r="P245" s="22" t="s">
        <v>752</v>
      </c>
      <c r="Q245" s="22" t="s">
        <v>373</v>
      </c>
      <c r="R245" s="22">
        <v>3</v>
      </c>
      <c r="S245" s="21">
        <v>43</v>
      </c>
      <c r="T245" s="22">
        <v>4</v>
      </c>
      <c r="U245" s="21">
        <v>7000</v>
      </c>
      <c r="V245" s="21">
        <v>10000</v>
      </c>
      <c r="W245" s="21">
        <v>4000</v>
      </c>
      <c r="X245" s="21">
        <v>7000</v>
      </c>
      <c r="Y245" s="94">
        <v>7200</v>
      </c>
      <c r="Z245" s="116">
        <v>10000</v>
      </c>
      <c r="AA245" s="87">
        <v>1700000000</v>
      </c>
      <c r="AB245" s="29">
        <v>883187605</v>
      </c>
      <c r="AC245" s="29">
        <v>1400934295</v>
      </c>
      <c r="AD245" s="29">
        <v>1445200000</v>
      </c>
      <c r="AE245" s="29">
        <f t="shared" si="4"/>
        <v>5429321900</v>
      </c>
      <c r="AF245" s="30" t="s">
        <v>369</v>
      </c>
    </row>
    <row r="246" spans="1:32" ht="41.4" x14ac:dyDescent="0.3">
      <c r="A246" s="148"/>
      <c r="B246" s="159">
        <v>0</v>
      </c>
      <c r="C246" s="148"/>
      <c r="D246" s="160">
        <v>0</v>
      </c>
      <c r="E246" s="75">
        <v>0</v>
      </c>
      <c r="F246" s="75">
        <f>9.487-3-6.487</f>
        <v>0</v>
      </c>
      <c r="G246" s="75">
        <v>10.537000000000001</v>
      </c>
      <c r="H246" s="75">
        <v>10.469000000000001</v>
      </c>
      <c r="I246" s="75">
        <v>7.6230000000000002</v>
      </c>
      <c r="J246" s="73">
        <v>52030100008</v>
      </c>
      <c r="K246" s="30" t="s">
        <v>1643</v>
      </c>
      <c r="L246" s="30" t="s">
        <v>1644</v>
      </c>
      <c r="M246" s="22" t="s">
        <v>107</v>
      </c>
      <c r="N246" s="22" t="s">
        <v>373</v>
      </c>
      <c r="O246" s="73" t="s">
        <v>381</v>
      </c>
      <c r="P246" s="22" t="s">
        <v>753</v>
      </c>
      <c r="Q246" s="22" t="s">
        <v>373</v>
      </c>
      <c r="R246" s="22">
        <v>3</v>
      </c>
      <c r="S246" s="21">
        <v>43</v>
      </c>
      <c r="T246" s="22">
        <v>4</v>
      </c>
      <c r="U246" s="21">
        <v>0</v>
      </c>
      <c r="V246" s="21">
        <v>3</v>
      </c>
      <c r="W246" s="21">
        <v>0</v>
      </c>
      <c r="X246" s="21">
        <v>0</v>
      </c>
      <c r="Y246" s="94">
        <v>1</v>
      </c>
      <c r="Z246" s="116">
        <v>3</v>
      </c>
      <c r="AA246" s="87">
        <v>0</v>
      </c>
      <c r="AB246" s="29">
        <v>0</v>
      </c>
      <c r="AC246" s="29">
        <v>140055680</v>
      </c>
      <c r="AD246" s="29">
        <v>100000000</v>
      </c>
      <c r="AE246" s="29">
        <f t="shared" si="4"/>
        <v>240055680</v>
      </c>
      <c r="AF246" s="30" t="s">
        <v>369</v>
      </c>
    </row>
    <row r="247" spans="1:32" x14ac:dyDescent="0.3">
      <c r="A247" s="24"/>
      <c r="B247" s="38"/>
      <c r="C247" s="24"/>
      <c r="D247" s="39"/>
      <c r="E247" s="35"/>
      <c r="F247" s="35"/>
      <c r="G247" s="35"/>
      <c r="H247" s="35"/>
      <c r="I247" s="35"/>
      <c r="J247" s="24"/>
      <c r="K247" s="40"/>
      <c r="L247" s="40"/>
      <c r="M247" s="41"/>
      <c r="N247" s="41"/>
      <c r="O247" s="24"/>
      <c r="P247" s="41"/>
      <c r="Q247" s="41"/>
      <c r="R247" s="41"/>
      <c r="S247" s="52"/>
      <c r="T247" s="41"/>
      <c r="U247" s="52"/>
      <c r="V247" s="52"/>
      <c r="W247" s="52"/>
      <c r="X247" s="52"/>
      <c r="Y247" s="52"/>
      <c r="Z247" s="55"/>
      <c r="AA247" s="52"/>
      <c r="AB247" s="52"/>
      <c r="AC247" s="52"/>
      <c r="AD247" s="29"/>
      <c r="AE247" s="53"/>
      <c r="AF247" s="40"/>
    </row>
    <row r="248" spans="1:32" ht="55.2" x14ac:dyDescent="0.3">
      <c r="A248" s="148" t="s">
        <v>1645</v>
      </c>
      <c r="B248" s="159">
        <v>23.277999999999999</v>
      </c>
      <c r="C248" s="148" t="s">
        <v>1646</v>
      </c>
      <c r="D248" s="160">
        <v>38.897999999999996</v>
      </c>
      <c r="E248" s="75">
        <v>0</v>
      </c>
      <c r="F248" s="75">
        <f>11.066-11.066</f>
        <v>0</v>
      </c>
      <c r="G248" s="74">
        <f>11.065-4-3-4.065</f>
        <v>0</v>
      </c>
      <c r="H248" s="75">
        <v>11.064</v>
      </c>
      <c r="I248" s="75">
        <v>8.2989999999999995</v>
      </c>
      <c r="J248" s="73">
        <v>52040010001</v>
      </c>
      <c r="K248" s="30" t="s">
        <v>1647</v>
      </c>
      <c r="L248" s="30" t="s">
        <v>1648</v>
      </c>
      <c r="M248" s="22" t="s">
        <v>144</v>
      </c>
      <c r="N248" s="22" t="s">
        <v>373</v>
      </c>
      <c r="O248" s="73" t="s">
        <v>381</v>
      </c>
      <c r="P248" s="22" t="s">
        <v>754</v>
      </c>
      <c r="Q248" s="22" t="s">
        <v>373</v>
      </c>
      <c r="R248" s="22">
        <v>4</v>
      </c>
      <c r="S248" s="21">
        <v>22</v>
      </c>
      <c r="T248" s="22">
        <v>1</v>
      </c>
      <c r="U248" s="21">
        <v>21182</v>
      </c>
      <c r="V248" s="21">
        <v>33600</v>
      </c>
      <c r="W248" s="21">
        <v>0</v>
      </c>
      <c r="X248" s="21">
        <v>0</v>
      </c>
      <c r="Y248" s="94">
        <v>0</v>
      </c>
      <c r="Z248" s="116">
        <v>33600</v>
      </c>
      <c r="AA248" s="87">
        <v>0</v>
      </c>
      <c r="AB248" s="29">
        <v>0</v>
      </c>
      <c r="AC248" s="29">
        <v>0</v>
      </c>
      <c r="AD248" s="29">
        <v>869971906</v>
      </c>
      <c r="AE248" s="29">
        <f t="shared" si="4"/>
        <v>869971906</v>
      </c>
      <c r="AF248" s="30" t="s">
        <v>358</v>
      </c>
    </row>
    <row r="249" spans="1:32" ht="96.6" x14ac:dyDescent="0.3">
      <c r="A249" s="148"/>
      <c r="B249" s="159">
        <v>0</v>
      </c>
      <c r="C249" s="148"/>
      <c r="D249" s="160">
        <v>0</v>
      </c>
      <c r="E249" s="75">
        <v>32.940000000000005</v>
      </c>
      <c r="F249" s="75">
        <f>38.244+11.066-7.5</f>
        <v>41.81</v>
      </c>
      <c r="G249" s="74">
        <f>37.386+3</f>
        <v>40.386000000000003</v>
      </c>
      <c r="H249" s="75">
        <f>37.113+4.569</f>
        <v>41.682000000000002</v>
      </c>
      <c r="I249" s="75">
        <v>36.42</v>
      </c>
      <c r="J249" s="73">
        <v>52040010002</v>
      </c>
      <c r="K249" s="30" t="s">
        <v>1649</v>
      </c>
      <c r="L249" s="30" t="s">
        <v>1650</v>
      </c>
      <c r="M249" s="22" t="s">
        <v>144</v>
      </c>
      <c r="N249" s="22" t="s">
        <v>373</v>
      </c>
      <c r="O249" s="73" t="s">
        <v>419</v>
      </c>
      <c r="P249" s="22" t="s">
        <v>755</v>
      </c>
      <c r="Q249" s="22" t="s">
        <v>373</v>
      </c>
      <c r="R249" s="22">
        <v>4</v>
      </c>
      <c r="S249" s="21">
        <v>22</v>
      </c>
      <c r="T249" s="22">
        <v>1</v>
      </c>
      <c r="U249" s="21">
        <v>214665</v>
      </c>
      <c r="V249" s="21">
        <v>224000</v>
      </c>
      <c r="W249" s="21">
        <v>214665</v>
      </c>
      <c r="X249" s="21">
        <v>218266</v>
      </c>
      <c r="Y249" s="94">
        <v>221133</v>
      </c>
      <c r="Z249" s="116">
        <v>224000</v>
      </c>
      <c r="AA249" s="87">
        <v>656728527155</v>
      </c>
      <c r="AB249" s="29">
        <v>679577487743</v>
      </c>
      <c r="AC249" s="29">
        <v>736143856365</v>
      </c>
      <c r="AD249" s="29">
        <v>797655114957</v>
      </c>
      <c r="AE249" s="29">
        <f t="shared" si="4"/>
        <v>2870104986220</v>
      </c>
      <c r="AF249" s="30" t="s">
        <v>358</v>
      </c>
    </row>
    <row r="250" spans="1:32" ht="69" x14ac:dyDescent="0.3">
      <c r="A250" s="148"/>
      <c r="B250" s="159">
        <v>0</v>
      </c>
      <c r="C250" s="148"/>
      <c r="D250" s="160">
        <v>0</v>
      </c>
      <c r="E250" s="75">
        <v>15.215</v>
      </c>
      <c r="F250" s="75">
        <f>11.573-4-7.573+7.5</f>
        <v>7.5</v>
      </c>
      <c r="G250" s="74">
        <v>11.562999999999999</v>
      </c>
      <c r="H250" s="75">
        <f>11.569-4-3-4.569</f>
        <v>0</v>
      </c>
      <c r="I250" s="75">
        <v>12.479999999999999</v>
      </c>
      <c r="J250" s="73">
        <v>52040010003</v>
      </c>
      <c r="K250" s="30" t="s">
        <v>1651</v>
      </c>
      <c r="L250" s="30" t="s">
        <v>1652</v>
      </c>
      <c r="M250" s="22" t="s">
        <v>144</v>
      </c>
      <c r="N250" s="22" t="s">
        <v>373</v>
      </c>
      <c r="O250" s="73" t="s">
        <v>756</v>
      </c>
      <c r="P250" s="22" t="s">
        <v>757</v>
      </c>
      <c r="Q250" s="22" t="s">
        <v>373</v>
      </c>
      <c r="R250" s="22">
        <v>4</v>
      </c>
      <c r="S250" s="21">
        <v>22</v>
      </c>
      <c r="T250" s="22">
        <v>1</v>
      </c>
      <c r="U250" s="21">
        <v>75</v>
      </c>
      <c r="V250" s="21">
        <v>75</v>
      </c>
      <c r="W250" s="21">
        <v>75</v>
      </c>
      <c r="X250" s="21">
        <v>75</v>
      </c>
      <c r="Y250" s="94">
        <v>10</v>
      </c>
      <c r="Z250" s="116">
        <v>0</v>
      </c>
      <c r="AA250" s="111">
        <v>1606009981</v>
      </c>
      <c r="AB250" s="29">
        <v>175528983</v>
      </c>
      <c r="AC250" s="29">
        <v>2114215806</v>
      </c>
      <c r="AD250" s="29">
        <v>0</v>
      </c>
      <c r="AE250" s="29">
        <f t="shared" si="4"/>
        <v>3895754770</v>
      </c>
      <c r="AF250" s="30" t="s">
        <v>358</v>
      </c>
    </row>
    <row r="251" spans="1:32" ht="55.2" x14ac:dyDescent="0.3">
      <c r="A251" s="148"/>
      <c r="B251" s="159">
        <v>0</v>
      </c>
      <c r="C251" s="148"/>
      <c r="D251" s="160">
        <v>0</v>
      </c>
      <c r="E251" s="75">
        <v>14.188000000000001</v>
      </c>
      <c r="F251" s="75">
        <f>12.606+4</f>
        <v>16.606000000000002</v>
      </c>
      <c r="G251" s="74">
        <f>12.612+4</f>
        <v>16.612000000000002</v>
      </c>
      <c r="H251" s="75">
        <f>12.664+4</f>
        <v>16.664000000000001</v>
      </c>
      <c r="I251" s="75">
        <v>13.017999999999999</v>
      </c>
      <c r="J251" s="73">
        <v>52040010004</v>
      </c>
      <c r="K251" s="30" t="s">
        <v>1653</v>
      </c>
      <c r="L251" s="30" t="s">
        <v>1654</v>
      </c>
      <c r="M251" s="22" t="s">
        <v>144</v>
      </c>
      <c r="N251" s="22" t="s">
        <v>373</v>
      </c>
      <c r="O251" s="73" t="s">
        <v>381</v>
      </c>
      <c r="P251" s="22" t="s">
        <v>758</v>
      </c>
      <c r="Q251" s="22" t="s">
        <v>373</v>
      </c>
      <c r="R251" s="22">
        <v>4</v>
      </c>
      <c r="S251" s="21">
        <v>22</v>
      </c>
      <c r="T251" s="22">
        <v>1</v>
      </c>
      <c r="U251" s="21">
        <v>16851</v>
      </c>
      <c r="V251" s="21">
        <v>18000</v>
      </c>
      <c r="W251" s="21">
        <v>16851</v>
      </c>
      <c r="X251" s="21">
        <v>17200</v>
      </c>
      <c r="Y251" s="94">
        <v>18000</v>
      </c>
      <c r="Z251" s="116">
        <v>18000</v>
      </c>
      <c r="AA251" s="87">
        <v>16341890768</v>
      </c>
      <c r="AB251" s="29">
        <v>22734470473</v>
      </c>
      <c r="AC251" s="29">
        <v>24033609458</v>
      </c>
      <c r="AD251" s="29">
        <v>22676455762</v>
      </c>
      <c r="AE251" s="29">
        <f t="shared" si="4"/>
        <v>85786426461</v>
      </c>
      <c r="AF251" s="30" t="s">
        <v>358</v>
      </c>
    </row>
    <row r="252" spans="1:32" ht="41.4" x14ac:dyDescent="0.3">
      <c r="A252" s="148"/>
      <c r="B252" s="159">
        <v>0</v>
      </c>
      <c r="C252" s="148"/>
      <c r="D252" s="160">
        <v>0</v>
      </c>
      <c r="E252" s="75">
        <v>15.479999999999999</v>
      </c>
      <c r="F252" s="75">
        <v>11.507</v>
      </c>
      <c r="G252" s="74">
        <v>11.794</v>
      </c>
      <c r="H252" s="75">
        <v>11.774999999999999</v>
      </c>
      <c r="I252" s="75">
        <v>12.638999999999999</v>
      </c>
      <c r="J252" s="73">
        <v>52040010005</v>
      </c>
      <c r="K252" s="30" t="s">
        <v>1655</v>
      </c>
      <c r="L252" s="30" t="s">
        <v>1656</v>
      </c>
      <c r="M252" s="22" t="s">
        <v>107</v>
      </c>
      <c r="N252" s="22" t="s">
        <v>373</v>
      </c>
      <c r="O252" s="73" t="s">
        <v>381</v>
      </c>
      <c r="P252" s="22" t="s">
        <v>759</v>
      </c>
      <c r="Q252" s="22" t="s">
        <v>373</v>
      </c>
      <c r="R252" s="22">
        <v>4</v>
      </c>
      <c r="S252" s="21">
        <v>22</v>
      </c>
      <c r="T252" s="22">
        <v>1</v>
      </c>
      <c r="U252" s="21">
        <v>91</v>
      </c>
      <c r="V252" s="21">
        <v>92</v>
      </c>
      <c r="W252" s="21">
        <v>92</v>
      </c>
      <c r="X252" s="21">
        <v>92</v>
      </c>
      <c r="Y252" s="94">
        <v>92</v>
      </c>
      <c r="Z252" s="116">
        <v>92</v>
      </c>
      <c r="AA252" s="87">
        <v>3581418237</v>
      </c>
      <c r="AB252" s="29">
        <v>3629671247</v>
      </c>
      <c r="AC252" s="29">
        <v>2402563529</v>
      </c>
      <c r="AD252" s="29">
        <v>2462493044</v>
      </c>
      <c r="AE252" s="29">
        <f t="shared" si="4"/>
        <v>12076146057</v>
      </c>
      <c r="AF252" s="30" t="s">
        <v>358</v>
      </c>
    </row>
    <row r="253" spans="1:32" ht="82.8" x14ac:dyDescent="0.3">
      <c r="A253" s="148"/>
      <c r="B253" s="159">
        <v>0</v>
      </c>
      <c r="C253" s="148"/>
      <c r="D253" s="160">
        <v>0</v>
      </c>
      <c r="E253" s="75">
        <v>22.177</v>
      </c>
      <c r="F253" s="75">
        <f>15.004+7.573</f>
        <v>22.576999999999998</v>
      </c>
      <c r="G253" s="74">
        <f>15.58+4.065</f>
        <v>19.645</v>
      </c>
      <c r="H253" s="75">
        <f>15.815+3</f>
        <v>18.814999999999998</v>
      </c>
      <c r="I253" s="75">
        <v>17.144000000000002</v>
      </c>
      <c r="J253" s="73">
        <v>52040010006</v>
      </c>
      <c r="K253" s="30" t="s">
        <v>1657</v>
      </c>
      <c r="L253" s="30" t="s">
        <v>1658</v>
      </c>
      <c r="M253" s="22" t="s">
        <v>144</v>
      </c>
      <c r="N253" s="22" t="s">
        <v>374</v>
      </c>
      <c r="O253" s="73" t="s">
        <v>507</v>
      </c>
      <c r="P253" s="22" t="s">
        <v>760</v>
      </c>
      <c r="Q253" s="22" t="s">
        <v>373</v>
      </c>
      <c r="R253" s="22">
        <v>2</v>
      </c>
      <c r="S253" s="21">
        <v>22</v>
      </c>
      <c r="T253" s="22">
        <v>1</v>
      </c>
      <c r="U253" s="21">
        <v>100</v>
      </c>
      <c r="V253" s="21">
        <v>100</v>
      </c>
      <c r="W253" s="21">
        <v>100</v>
      </c>
      <c r="X253" s="21">
        <v>100</v>
      </c>
      <c r="Y253" s="94">
        <v>100</v>
      </c>
      <c r="Z253" s="116">
        <v>100</v>
      </c>
      <c r="AA253" s="87">
        <v>68535735759</v>
      </c>
      <c r="AB253" s="29">
        <v>66045045000</v>
      </c>
      <c r="AC253" s="29">
        <v>66093288785</v>
      </c>
      <c r="AD253" s="29">
        <v>70000000000</v>
      </c>
      <c r="AE253" s="29">
        <f t="shared" si="4"/>
        <v>270674069544</v>
      </c>
      <c r="AF253" s="30" t="s">
        <v>358</v>
      </c>
    </row>
    <row r="254" spans="1:32" ht="63.75" customHeight="1" x14ac:dyDescent="0.3">
      <c r="A254" s="148"/>
      <c r="B254" s="159">
        <v>0</v>
      </c>
      <c r="C254" s="148" t="s">
        <v>1659</v>
      </c>
      <c r="D254" s="160">
        <v>15.138999999999999</v>
      </c>
      <c r="E254" s="75">
        <v>0</v>
      </c>
      <c r="F254" s="75">
        <f>27.52-27.52+65</f>
        <v>65</v>
      </c>
      <c r="G254" s="75">
        <f>25.829+11.281</f>
        <v>37.11</v>
      </c>
      <c r="H254" s="75">
        <f>24.455-24.455</f>
        <v>0</v>
      </c>
      <c r="I254" s="75">
        <v>19.451000000000001</v>
      </c>
      <c r="J254" s="73">
        <v>52040020001</v>
      </c>
      <c r="K254" s="30" t="s">
        <v>1660</v>
      </c>
      <c r="L254" s="30" t="s">
        <v>1661</v>
      </c>
      <c r="M254" s="22" t="s">
        <v>107</v>
      </c>
      <c r="N254" s="22" t="s">
        <v>373</v>
      </c>
      <c r="O254" s="73" t="s">
        <v>381</v>
      </c>
      <c r="P254" s="22" t="s">
        <v>761</v>
      </c>
      <c r="Q254" s="22" t="s">
        <v>373</v>
      </c>
      <c r="R254" s="22">
        <v>4</v>
      </c>
      <c r="S254" s="21">
        <v>22</v>
      </c>
      <c r="T254" s="22">
        <v>1</v>
      </c>
      <c r="U254" s="21">
        <v>0</v>
      </c>
      <c r="V254" s="21">
        <v>30000</v>
      </c>
      <c r="W254" s="21">
        <v>0</v>
      </c>
      <c r="X254" s="21">
        <v>10658</v>
      </c>
      <c r="Y254" s="94">
        <v>11658</v>
      </c>
      <c r="Z254" s="116">
        <v>0</v>
      </c>
      <c r="AA254" s="87">
        <v>0</v>
      </c>
      <c r="AB254" s="29">
        <v>4134281300</v>
      </c>
      <c r="AC254" s="29">
        <v>4513969412</v>
      </c>
      <c r="AD254" s="29">
        <v>0</v>
      </c>
      <c r="AE254" s="29">
        <f t="shared" si="4"/>
        <v>8648250712</v>
      </c>
      <c r="AF254" s="30" t="s">
        <v>358</v>
      </c>
    </row>
    <row r="255" spans="1:32" ht="110.4" x14ac:dyDescent="0.3">
      <c r="A255" s="148"/>
      <c r="B255" s="159">
        <v>0</v>
      </c>
      <c r="C255" s="148"/>
      <c r="D255" s="160">
        <v>0</v>
      </c>
      <c r="E255" s="75">
        <v>100</v>
      </c>
      <c r="F255" s="75">
        <f>27.36+27.52+45.12-65</f>
        <v>35</v>
      </c>
      <c r="G255" s="75">
        <f>24.89+38</f>
        <v>62.89</v>
      </c>
      <c r="H255" s="75">
        <f>23.539+24.455+52.006</f>
        <v>100</v>
      </c>
      <c r="I255" s="75">
        <v>43.947000000000003</v>
      </c>
      <c r="J255" s="73">
        <v>52040020002</v>
      </c>
      <c r="K255" s="30" t="s">
        <v>1662</v>
      </c>
      <c r="L255" s="30" t="s">
        <v>1663</v>
      </c>
      <c r="M255" s="22" t="s">
        <v>144</v>
      </c>
      <c r="N255" s="22" t="s">
        <v>373</v>
      </c>
      <c r="O255" s="73" t="s">
        <v>381</v>
      </c>
      <c r="P255" s="22" t="s">
        <v>762</v>
      </c>
      <c r="Q255" s="22" t="s">
        <v>373</v>
      </c>
      <c r="R255" s="22">
        <v>4</v>
      </c>
      <c r="S255" s="21">
        <v>22</v>
      </c>
      <c r="T255" s="22">
        <v>1</v>
      </c>
      <c r="U255" s="21">
        <v>2000</v>
      </c>
      <c r="V255" s="21">
        <v>4500</v>
      </c>
      <c r="W255" s="21">
        <v>2247</v>
      </c>
      <c r="X255" s="21">
        <v>2339</v>
      </c>
      <c r="Y255" s="94">
        <v>4500</v>
      </c>
      <c r="Z255" s="128">
        <v>7228</v>
      </c>
      <c r="AA255" s="87">
        <v>1047162521</v>
      </c>
      <c r="AB255" s="29">
        <v>221500000</v>
      </c>
      <c r="AC255" s="29">
        <v>42892125430</v>
      </c>
      <c r="AD255" s="29">
        <v>8613577693</v>
      </c>
      <c r="AE255" s="29">
        <f t="shared" si="4"/>
        <v>52774365644</v>
      </c>
      <c r="AF255" s="30" t="s">
        <v>358</v>
      </c>
    </row>
    <row r="256" spans="1:32" ht="82.8" x14ac:dyDescent="0.3">
      <c r="A256" s="148"/>
      <c r="B256" s="159">
        <v>0</v>
      </c>
      <c r="C256" s="148"/>
      <c r="D256" s="160">
        <v>0</v>
      </c>
      <c r="E256" s="75">
        <v>0</v>
      </c>
      <c r="F256" s="75">
        <f>45.12-45.12</f>
        <v>0</v>
      </c>
      <c r="G256" s="75">
        <f>49.281-38-11.281</f>
        <v>0</v>
      </c>
      <c r="H256" s="75">
        <f>52.006-52.006</f>
        <v>0</v>
      </c>
      <c r="I256" s="75">
        <v>36.602000000000004</v>
      </c>
      <c r="J256" s="73">
        <v>52040020003</v>
      </c>
      <c r="K256" s="30" t="s">
        <v>1664</v>
      </c>
      <c r="L256" s="30" t="s">
        <v>1665</v>
      </c>
      <c r="M256" s="22" t="s">
        <v>107</v>
      </c>
      <c r="N256" s="22" t="s">
        <v>374</v>
      </c>
      <c r="O256" s="73" t="s">
        <v>507</v>
      </c>
      <c r="P256" s="22" t="s">
        <v>763</v>
      </c>
      <c r="Q256" s="22" t="s">
        <v>373</v>
      </c>
      <c r="R256" s="22">
        <v>4</v>
      </c>
      <c r="S256" s="21">
        <v>22</v>
      </c>
      <c r="T256" s="22">
        <v>1</v>
      </c>
      <c r="U256" s="21">
        <v>0</v>
      </c>
      <c r="V256" s="21">
        <v>100</v>
      </c>
      <c r="W256" s="21">
        <v>0</v>
      </c>
      <c r="X256" s="21">
        <v>0</v>
      </c>
      <c r="Y256" s="94">
        <v>0</v>
      </c>
      <c r="Z256" s="116">
        <v>0</v>
      </c>
      <c r="AA256" s="87">
        <v>0</v>
      </c>
      <c r="AB256" s="29">
        <v>0</v>
      </c>
      <c r="AC256" s="29">
        <v>0</v>
      </c>
      <c r="AD256" s="21">
        <v>0</v>
      </c>
      <c r="AE256" s="29">
        <f t="shared" si="4"/>
        <v>0</v>
      </c>
      <c r="AF256" s="30" t="s">
        <v>358</v>
      </c>
    </row>
    <row r="257" spans="1:32" ht="124.2" x14ac:dyDescent="0.3">
      <c r="A257" s="148"/>
      <c r="B257" s="159">
        <v>0</v>
      </c>
      <c r="C257" s="148" t="s">
        <v>1666</v>
      </c>
      <c r="D257" s="160">
        <v>15.165999999999999</v>
      </c>
      <c r="E257" s="75">
        <v>31.521000000000001</v>
      </c>
      <c r="F257" s="75">
        <v>42.748999999999995</v>
      </c>
      <c r="G257" s="75">
        <v>39.231999999999999</v>
      </c>
      <c r="H257" s="75">
        <f>40.342-6</f>
        <v>34.341999999999999</v>
      </c>
      <c r="I257" s="75">
        <v>38.460999999999999</v>
      </c>
      <c r="J257" s="73">
        <v>52040030001</v>
      </c>
      <c r="K257" s="30" t="s">
        <v>1667</v>
      </c>
      <c r="L257" s="30" t="s">
        <v>1668</v>
      </c>
      <c r="M257" s="22" t="s">
        <v>107</v>
      </c>
      <c r="N257" s="22" t="s">
        <v>373</v>
      </c>
      <c r="O257" s="73" t="s">
        <v>381</v>
      </c>
      <c r="P257" s="22" t="s">
        <v>764</v>
      </c>
      <c r="Q257" s="22" t="s">
        <v>373</v>
      </c>
      <c r="R257" s="22">
        <v>4</v>
      </c>
      <c r="S257" s="21">
        <v>22</v>
      </c>
      <c r="T257" s="22">
        <v>1</v>
      </c>
      <c r="U257" s="21">
        <v>630</v>
      </c>
      <c r="V257" s="21">
        <v>830</v>
      </c>
      <c r="W257" s="21">
        <v>682</v>
      </c>
      <c r="X257" s="21">
        <v>741</v>
      </c>
      <c r="Y257" s="94">
        <v>781</v>
      </c>
      <c r="Z257" s="116">
        <v>830</v>
      </c>
      <c r="AA257" s="87">
        <v>320278750</v>
      </c>
      <c r="AB257" s="29">
        <v>456123780</v>
      </c>
      <c r="AC257" s="29">
        <v>951173032</v>
      </c>
      <c r="AD257" s="29">
        <v>625006000</v>
      </c>
      <c r="AE257" s="29">
        <f t="shared" si="4"/>
        <v>2352581562</v>
      </c>
      <c r="AF257" s="30" t="s">
        <v>358</v>
      </c>
    </row>
    <row r="258" spans="1:32" ht="55.2" x14ac:dyDescent="0.3">
      <c r="A258" s="148"/>
      <c r="B258" s="159">
        <v>0</v>
      </c>
      <c r="C258" s="148"/>
      <c r="D258" s="160">
        <v>0</v>
      </c>
      <c r="E258" s="75">
        <v>45.418999999999997</v>
      </c>
      <c r="F258" s="75">
        <v>32.102000000000004</v>
      </c>
      <c r="G258" s="75">
        <v>31.392999999999997</v>
      </c>
      <c r="H258" s="75">
        <f>31.493-2</f>
        <v>29.492999999999999</v>
      </c>
      <c r="I258" s="75">
        <v>35.101999999999997</v>
      </c>
      <c r="J258" s="73">
        <v>52040030002</v>
      </c>
      <c r="K258" s="30" t="s">
        <v>1669</v>
      </c>
      <c r="L258" s="30" t="s">
        <v>1670</v>
      </c>
      <c r="M258" s="22" t="s">
        <v>107</v>
      </c>
      <c r="N258" s="22" t="s">
        <v>373</v>
      </c>
      <c r="O258" s="73" t="s">
        <v>381</v>
      </c>
      <c r="P258" s="22" t="s">
        <v>765</v>
      </c>
      <c r="Q258" s="22" t="s">
        <v>373</v>
      </c>
      <c r="R258" s="22">
        <v>4</v>
      </c>
      <c r="S258" s="21">
        <v>22</v>
      </c>
      <c r="T258" s="22">
        <v>1</v>
      </c>
      <c r="U258" s="21">
        <v>46</v>
      </c>
      <c r="V258" s="21">
        <v>92</v>
      </c>
      <c r="W258" s="21">
        <v>46</v>
      </c>
      <c r="X258" s="21">
        <v>60</v>
      </c>
      <c r="Y258" s="94">
        <v>82</v>
      </c>
      <c r="Z258" s="116">
        <v>92</v>
      </c>
      <c r="AA258" s="87">
        <v>821000000</v>
      </c>
      <c r="AB258" s="29">
        <v>616800000</v>
      </c>
      <c r="AC258" s="29">
        <v>695801390</v>
      </c>
      <c r="AD258" s="29">
        <v>561686950</v>
      </c>
      <c r="AE258" s="29">
        <f t="shared" si="4"/>
        <v>2695288340</v>
      </c>
      <c r="AF258" s="30" t="s">
        <v>358</v>
      </c>
    </row>
    <row r="259" spans="1:32" ht="69" x14ac:dyDescent="0.3">
      <c r="A259" s="148"/>
      <c r="B259" s="159">
        <v>0</v>
      </c>
      <c r="C259" s="148"/>
      <c r="D259" s="160">
        <v>0</v>
      </c>
      <c r="E259" s="75">
        <v>23.06</v>
      </c>
      <c r="F259" s="75">
        <v>25.149000000000001</v>
      </c>
      <c r="G259" s="75">
        <v>29.375</v>
      </c>
      <c r="H259" s="75">
        <f>28.165+6+2</f>
        <v>36.164999999999999</v>
      </c>
      <c r="I259" s="75">
        <v>26.436999999999998</v>
      </c>
      <c r="J259" s="73">
        <v>52040030003</v>
      </c>
      <c r="K259" s="30" t="s">
        <v>1671</v>
      </c>
      <c r="L259" s="30" t="s">
        <v>1672</v>
      </c>
      <c r="M259" s="22" t="s">
        <v>144</v>
      </c>
      <c r="N259" s="22" t="s">
        <v>373</v>
      </c>
      <c r="O259" s="73" t="s">
        <v>381</v>
      </c>
      <c r="P259" s="22" t="s">
        <v>766</v>
      </c>
      <c r="Q259" s="22" t="s">
        <v>373</v>
      </c>
      <c r="R259" s="22">
        <v>4</v>
      </c>
      <c r="S259" s="21">
        <v>22</v>
      </c>
      <c r="T259" s="22">
        <v>1</v>
      </c>
      <c r="U259" s="21">
        <v>27</v>
      </c>
      <c r="V259" s="21">
        <v>46</v>
      </c>
      <c r="W259" s="21">
        <v>20</v>
      </c>
      <c r="X259" s="21">
        <v>46</v>
      </c>
      <c r="Y259" s="94">
        <v>46</v>
      </c>
      <c r="Z259" s="116">
        <v>46</v>
      </c>
      <c r="AA259" s="87">
        <v>113696000</v>
      </c>
      <c r="AB259" s="29">
        <v>795014000</v>
      </c>
      <c r="AC259" s="29">
        <v>954116100</v>
      </c>
      <c r="AD259" s="52">
        <v>642980000</v>
      </c>
      <c r="AE259" s="29">
        <f t="shared" si="4"/>
        <v>2505806100</v>
      </c>
      <c r="AF259" s="30" t="s">
        <v>358</v>
      </c>
    </row>
    <row r="260" spans="1:32" ht="55.2" x14ac:dyDescent="0.3">
      <c r="A260" s="148"/>
      <c r="B260" s="159">
        <v>0</v>
      </c>
      <c r="C260" s="148" t="s">
        <v>1673</v>
      </c>
      <c r="D260" s="160">
        <v>15.665999999999999</v>
      </c>
      <c r="E260" s="75">
        <v>22.282</v>
      </c>
      <c r="F260" s="75">
        <v>18.837</v>
      </c>
      <c r="G260" s="75">
        <v>18.745999999999999</v>
      </c>
      <c r="H260" s="75">
        <f>18.508+10.348</f>
        <v>28.856000000000002</v>
      </c>
      <c r="I260" s="75">
        <v>19.593</v>
      </c>
      <c r="J260" s="73">
        <v>52040040001</v>
      </c>
      <c r="K260" s="30" t="s">
        <v>1674</v>
      </c>
      <c r="L260" s="30" t="s">
        <v>1675</v>
      </c>
      <c r="M260" s="22" t="s">
        <v>107</v>
      </c>
      <c r="N260" s="22" t="s">
        <v>373</v>
      </c>
      <c r="O260" s="73" t="s">
        <v>381</v>
      </c>
      <c r="P260" s="22" t="s">
        <v>767</v>
      </c>
      <c r="Q260" s="22" t="s">
        <v>373</v>
      </c>
      <c r="R260" s="22">
        <v>4</v>
      </c>
      <c r="S260" s="21">
        <v>33</v>
      </c>
      <c r="T260" s="22">
        <v>5</v>
      </c>
      <c r="U260" s="21">
        <v>61</v>
      </c>
      <c r="V260" s="21">
        <v>244</v>
      </c>
      <c r="W260" s="21">
        <v>85</v>
      </c>
      <c r="X260" s="21">
        <v>142</v>
      </c>
      <c r="Y260" s="94">
        <v>160</v>
      </c>
      <c r="Z260" s="116">
        <v>244</v>
      </c>
      <c r="AA260" s="87">
        <v>617770390</v>
      </c>
      <c r="AB260" s="29">
        <v>677120195</v>
      </c>
      <c r="AC260" s="29">
        <v>677120195</v>
      </c>
      <c r="AD260" s="21">
        <v>677120195</v>
      </c>
      <c r="AE260" s="29">
        <f t="shared" si="4"/>
        <v>2649130975</v>
      </c>
      <c r="AF260" s="30" t="s">
        <v>355</v>
      </c>
    </row>
    <row r="261" spans="1:32" ht="69" x14ac:dyDescent="0.3">
      <c r="A261" s="148"/>
      <c r="B261" s="159">
        <v>0</v>
      </c>
      <c r="C261" s="148"/>
      <c r="D261" s="160">
        <v>0</v>
      </c>
      <c r="E261" s="75">
        <v>42.333999999999996</v>
      </c>
      <c r="F261" s="75">
        <v>40.383000000000003</v>
      </c>
      <c r="G261" s="75">
        <v>40.378999999999998</v>
      </c>
      <c r="H261" s="75">
        <f>38.742+8</f>
        <v>46.741999999999997</v>
      </c>
      <c r="I261" s="75">
        <v>40.46</v>
      </c>
      <c r="J261" s="73">
        <v>52040040002</v>
      </c>
      <c r="K261" s="30" t="s">
        <v>1676</v>
      </c>
      <c r="L261" s="30" t="s">
        <v>1677</v>
      </c>
      <c r="M261" s="22" t="s">
        <v>144</v>
      </c>
      <c r="N261" s="22" t="s">
        <v>373</v>
      </c>
      <c r="O261" s="73" t="s">
        <v>381</v>
      </c>
      <c r="P261" s="22" t="s">
        <v>768</v>
      </c>
      <c r="Q261" s="22" t="s">
        <v>373</v>
      </c>
      <c r="R261" s="22">
        <v>4</v>
      </c>
      <c r="S261" s="21">
        <v>33</v>
      </c>
      <c r="T261" s="22">
        <v>5</v>
      </c>
      <c r="U261" s="21">
        <v>61</v>
      </c>
      <c r="V261" s="21">
        <v>64</v>
      </c>
      <c r="W261" s="21">
        <v>61</v>
      </c>
      <c r="X261" s="21">
        <v>64</v>
      </c>
      <c r="Y261" s="94">
        <v>64</v>
      </c>
      <c r="Z261" s="116">
        <v>64</v>
      </c>
      <c r="AA261" s="87">
        <v>4241843614</v>
      </c>
      <c r="AB261" s="29">
        <v>4373580190</v>
      </c>
      <c r="AC261" s="29">
        <v>4160336290</v>
      </c>
      <c r="AD261" s="29">
        <v>4160336290</v>
      </c>
      <c r="AE261" s="29">
        <f t="shared" si="4"/>
        <v>16936096384</v>
      </c>
      <c r="AF261" s="30" t="s">
        <v>355</v>
      </c>
    </row>
    <row r="262" spans="1:32" ht="69" x14ac:dyDescent="0.3">
      <c r="A262" s="148"/>
      <c r="B262" s="159">
        <v>0</v>
      </c>
      <c r="C262" s="148"/>
      <c r="D262" s="160">
        <v>0</v>
      </c>
      <c r="E262" s="75">
        <v>17.062999999999999</v>
      </c>
      <c r="F262" s="75">
        <v>19.093</v>
      </c>
      <c r="G262" s="75">
        <v>19.231999999999999</v>
      </c>
      <c r="H262" s="75">
        <f>21.348-8-3-10.348</f>
        <v>0</v>
      </c>
      <c r="I262" s="75">
        <v>19.184000000000001</v>
      </c>
      <c r="J262" s="73">
        <v>52040040003</v>
      </c>
      <c r="K262" s="30" t="s">
        <v>1678</v>
      </c>
      <c r="L262" s="30" t="s">
        <v>1679</v>
      </c>
      <c r="M262" s="22" t="s">
        <v>144</v>
      </c>
      <c r="N262" s="22" t="s">
        <v>373</v>
      </c>
      <c r="O262" s="73" t="s">
        <v>381</v>
      </c>
      <c r="P262" s="22" t="s">
        <v>769</v>
      </c>
      <c r="Q262" s="22" t="s">
        <v>373</v>
      </c>
      <c r="R262" s="22">
        <v>4</v>
      </c>
      <c r="S262" s="21">
        <v>22</v>
      </c>
      <c r="T262" s="22">
        <v>1</v>
      </c>
      <c r="U262" s="21">
        <v>91</v>
      </c>
      <c r="V262" s="21">
        <v>92</v>
      </c>
      <c r="W262" s="21">
        <v>20</v>
      </c>
      <c r="X262" s="21">
        <v>45</v>
      </c>
      <c r="Y262" s="94">
        <v>70</v>
      </c>
      <c r="Z262" s="116">
        <v>0</v>
      </c>
      <c r="AA262" s="87">
        <v>53446218</v>
      </c>
      <c r="AB262" s="29">
        <v>648100000</v>
      </c>
      <c r="AC262" s="29">
        <v>676066302</v>
      </c>
      <c r="AD262" s="21">
        <v>0</v>
      </c>
      <c r="AE262" s="29">
        <f t="shared" si="4"/>
        <v>1377612520</v>
      </c>
      <c r="AF262" s="30" t="s">
        <v>358</v>
      </c>
    </row>
    <row r="263" spans="1:32" ht="69" x14ac:dyDescent="0.3">
      <c r="A263" s="148"/>
      <c r="B263" s="159">
        <v>0</v>
      </c>
      <c r="C263" s="148"/>
      <c r="D263" s="160">
        <v>0</v>
      </c>
      <c r="E263" s="75">
        <v>18.321000000000002</v>
      </c>
      <c r="F263" s="75">
        <v>21.687000000000001</v>
      </c>
      <c r="G263" s="75">
        <v>21.643000000000001</v>
      </c>
      <c r="H263" s="75">
        <f>21.402+3</f>
        <v>24.402000000000001</v>
      </c>
      <c r="I263" s="75">
        <v>20.763000000000002</v>
      </c>
      <c r="J263" s="73">
        <v>52040040004</v>
      </c>
      <c r="K263" s="30" t="s">
        <v>1680</v>
      </c>
      <c r="L263" s="30" t="s">
        <v>1681</v>
      </c>
      <c r="M263" s="22" t="s">
        <v>107</v>
      </c>
      <c r="N263" s="22" t="s">
        <v>373</v>
      </c>
      <c r="O263" s="73" t="s">
        <v>381</v>
      </c>
      <c r="P263" s="22" t="s">
        <v>770</v>
      </c>
      <c r="Q263" s="22" t="s">
        <v>373</v>
      </c>
      <c r="R263" s="22">
        <v>4</v>
      </c>
      <c r="S263" s="21">
        <v>33</v>
      </c>
      <c r="T263" s="22">
        <v>5</v>
      </c>
      <c r="U263" s="21">
        <v>7</v>
      </c>
      <c r="V263" s="21">
        <v>14</v>
      </c>
      <c r="W263" s="21">
        <v>7</v>
      </c>
      <c r="X263" s="21">
        <v>6</v>
      </c>
      <c r="Y263" s="94">
        <v>12</v>
      </c>
      <c r="Z263" s="116">
        <v>14</v>
      </c>
      <c r="AA263" s="87">
        <v>116750000</v>
      </c>
      <c r="AB263" s="29">
        <v>360000000</v>
      </c>
      <c r="AC263" s="29">
        <v>447784872</v>
      </c>
      <c r="AD263" s="29">
        <v>478062000</v>
      </c>
      <c r="AE263" s="29">
        <f t="shared" si="4"/>
        <v>1402596872</v>
      </c>
      <c r="AF263" s="30" t="s">
        <v>358</v>
      </c>
    </row>
    <row r="264" spans="1:32" ht="55.2" x14ac:dyDescent="0.3">
      <c r="A264" s="148"/>
      <c r="B264" s="159">
        <v>0</v>
      </c>
      <c r="C264" s="148" t="s">
        <v>1682</v>
      </c>
      <c r="D264" s="160">
        <v>15.131</v>
      </c>
      <c r="E264" s="75">
        <v>42.333999999999996</v>
      </c>
      <c r="F264" s="75">
        <v>13.444999999999999</v>
      </c>
      <c r="G264" s="75">
        <v>13.856999999999999</v>
      </c>
      <c r="H264" s="75">
        <v>9.1560000000000006</v>
      </c>
      <c r="I264" s="75">
        <v>19.698</v>
      </c>
      <c r="J264" s="73">
        <v>52040050001</v>
      </c>
      <c r="K264" s="30" t="s">
        <v>1683</v>
      </c>
      <c r="L264" s="30" t="s">
        <v>1684</v>
      </c>
      <c r="M264" s="22" t="s">
        <v>144</v>
      </c>
      <c r="N264" s="22" t="s">
        <v>373</v>
      </c>
      <c r="O264" s="73" t="s">
        <v>381</v>
      </c>
      <c r="P264" s="22" t="s">
        <v>771</v>
      </c>
      <c r="Q264" s="22" t="s">
        <v>373</v>
      </c>
      <c r="R264" s="22">
        <v>4</v>
      </c>
      <c r="S264" s="21">
        <v>22</v>
      </c>
      <c r="T264" s="22">
        <v>1</v>
      </c>
      <c r="U264" s="21">
        <v>91</v>
      </c>
      <c r="V264" s="21">
        <v>92</v>
      </c>
      <c r="W264" s="21">
        <v>91</v>
      </c>
      <c r="X264" s="21">
        <v>92</v>
      </c>
      <c r="Y264" s="94">
        <v>92</v>
      </c>
      <c r="Z264" s="116">
        <v>92</v>
      </c>
      <c r="AA264" s="87">
        <v>529198500</v>
      </c>
      <c r="AB264" s="29">
        <v>697999832</v>
      </c>
      <c r="AC264" s="29">
        <v>914040000</v>
      </c>
      <c r="AD264" s="29">
        <v>348940800</v>
      </c>
      <c r="AE264" s="29">
        <f t="shared" si="4"/>
        <v>2490179132</v>
      </c>
      <c r="AF264" s="30" t="s">
        <v>358</v>
      </c>
    </row>
    <row r="265" spans="1:32" ht="82.8" x14ac:dyDescent="0.3">
      <c r="A265" s="148"/>
      <c r="B265" s="159">
        <v>0</v>
      </c>
      <c r="C265" s="148"/>
      <c r="D265" s="160">
        <v>0</v>
      </c>
      <c r="E265" s="75">
        <v>33.603000000000002</v>
      </c>
      <c r="F265" s="75">
        <v>10.360999999999999</v>
      </c>
      <c r="G265" s="75">
        <v>13.258000000000001</v>
      </c>
      <c r="H265" s="75">
        <f>11.712+2</f>
        <v>13.712</v>
      </c>
      <c r="I265" s="75">
        <v>17.233000000000001</v>
      </c>
      <c r="J265" s="73">
        <v>52040050002</v>
      </c>
      <c r="K265" s="30" t="s">
        <v>1685</v>
      </c>
      <c r="L265" s="30" t="s">
        <v>1686</v>
      </c>
      <c r="M265" s="22" t="s">
        <v>107</v>
      </c>
      <c r="N265" s="22" t="s">
        <v>373</v>
      </c>
      <c r="O265" s="73" t="s">
        <v>381</v>
      </c>
      <c r="P265" s="22" t="s">
        <v>772</v>
      </c>
      <c r="Q265" s="22" t="s">
        <v>373</v>
      </c>
      <c r="R265" s="22">
        <v>4</v>
      </c>
      <c r="S265" s="21">
        <v>22</v>
      </c>
      <c r="T265" s="22">
        <v>1</v>
      </c>
      <c r="U265" s="21">
        <v>40</v>
      </c>
      <c r="V265" s="21">
        <v>92</v>
      </c>
      <c r="W265" s="21">
        <v>50</v>
      </c>
      <c r="X265" s="21">
        <v>45</v>
      </c>
      <c r="Y265" s="94">
        <v>72</v>
      </c>
      <c r="Z265" s="116">
        <v>92</v>
      </c>
      <c r="AA265" s="87">
        <v>383028000</v>
      </c>
      <c r="AB265" s="29">
        <v>602860800</v>
      </c>
      <c r="AC265" s="29">
        <v>1262661854</v>
      </c>
      <c r="AD265" s="29">
        <v>1587850200</v>
      </c>
      <c r="AE265" s="29">
        <f t="shared" si="4"/>
        <v>3836400854</v>
      </c>
      <c r="AF265" s="30" t="s">
        <v>358</v>
      </c>
    </row>
    <row r="266" spans="1:32" ht="110.4" x14ac:dyDescent="0.3">
      <c r="A266" s="148"/>
      <c r="B266" s="159">
        <v>0</v>
      </c>
      <c r="C266" s="148"/>
      <c r="D266" s="160">
        <v>0</v>
      </c>
      <c r="E266" s="75">
        <v>0</v>
      </c>
      <c r="F266" s="75">
        <v>19.239000000000001</v>
      </c>
      <c r="G266" s="75">
        <v>20.440000000000001</v>
      </c>
      <c r="H266" s="75">
        <f>19.368-4</f>
        <v>15.367999999999999</v>
      </c>
      <c r="I266" s="75">
        <v>14.762</v>
      </c>
      <c r="J266" s="73">
        <v>52040050003</v>
      </c>
      <c r="K266" s="30" t="s">
        <v>1687</v>
      </c>
      <c r="L266" s="30" t="s">
        <v>1688</v>
      </c>
      <c r="M266" s="22" t="s">
        <v>107</v>
      </c>
      <c r="N266" s="22" t="s">
        <v>374</v>
      </c>
      <c r="O266" s="73" t="s">
        <v>507</v>
      </c>
      <c r="P266" s="22" t="s">
        <v>773</v>
      </c>
      <c r="Q266" s="22" t="s">
        <v>373</v>
      </c>
      <c r="R266" s="22">
        <v>4</v>
      </c>
      <c r="S266" s="21">
        <v>22</v>
      </c>
      <c r="T266" s="22">
        <v>1</v>
      </c>
      <c r="U266" s="21">
        <v>19</v>
      </c>
      <c r="V266" s="21">
        <v>31</v>
      </c>
      <c r="W266" s="21">
        <v>0</v>
      </c>
      <c r="X266" s="21">
        <v>25</v>
      </c>
      <c r="Y266" s="94">
        <v>28</v>
      </c>
      <c r="Z266" s="116">
        <v>31</v>
      </c>
      <c r="AA266" s="87">
        <v>0</v>
      </c>
      <c r="AB266" s="29">
        <v>808464229</v>
      </c>
      <c r="AC266" s="29">
        <v>860751142</v>
      </c>
      <c r="AD266" s="29">
        <v>1805000000</v>
      </c>
      <c r="AE266" s="29">
        <f t="shared" si="4"/>
        <v>3474215371</v>
      </c>
      <c r="AF266" s="30" t="s">
        <v>358</v>
      </c>
    </row>
    <row r="267" spans="1:32" ht="69" x14ac:dyDescent="0.3">
      <c r="A267" s="148"/>
      <c r="B267" s="159">
        <v>0</v>
      </c>
      <c r="C267" s="148"/>
      <c r="D267" s="160">
        <v>0</v>
      </c>
      <c r="E267" s="75">
        <v>24.063000000000002</v>
      </c>
      <c r="F267" s="75">
        <v>11.379</v>
      </c>
      <c r="G267" s="75">
        <v>13.163</v>
      </c>
      <c r="H267" s="75">
        <f>13.912-2</f>
        <v>11.912000000000001</v>
      </c>
      <c r="I267" s="75">
        <v>15.629000000000001</v>
      </c>
      <c r="J267" s="73">
        <v>52040050004</v>
      </c>
      <c r="K267" s="30" t="s">
        <v>1689</v>
      </c>
      <c r="L267" s="30" t="s">
        <v>1690</v>
      </c>
      <c r="M267" s="22" t="s">
        <v>107</v>
      </c>
      <c r="N267" s="22" t="s">
        <v>373</v>
      </c>
      <c r="O267" s="73" t="s">
        <v>381</v>
      </c>
      <c r="P267" s="22" t="s">
        <v>774</v>
      </c>
      <c r="Q267" s="22" t="s">
        <v>373</v>
      </c>
      <c r="R267" s="22">
        <v>4</v>
      </c>
      <c r="S267" s="21">
        <v>22</v>
      </c>
      <c r="T267" s="22">
        <v>1</v>
      </c>
      <c r="U267" s="21">
        <v>45</v>
      </c>
      <c r="V267" s="21">
        <v>92</v>
      </c>
      <c r="W267" s="21">
        <v>20</v>
      </c>
      <c r="X267" s="21">
        <v>50</v>
      </c>
      <c r="Y267" s="94">
        <v>70</v>
      </c>
      <c r="Z267" s="116">
        <v>92</v>
      </c>
      <c r="AA267" s="87">
        <v>80000000</v>
      </c>
      <c r="AB267" s="29">
        <v>780000000</v>
      </c>
      <c r="AC267" s="29">
        <v>630000000</v>
      </c>
      <c r="AD267" s="29">
        <v>923938440</v>
      </c>
      <c r="AE267" s="29">
        <f t="shared" si="4"/>
        <v>2413938440</v>
      </c>
      <c r="AF267" s="30" t="s">
        <v>358</v>
      </c>
    </row>
    <row r="268" spans="1:32" ht="69" x14ac:dyDescent="0.3">
      <c r="A268" s="148"/>
      <c r="B268" s="159">
        <v>0</v>
      </c>
      <c r="C268" s="148"/>
      <c r="D268" s="160">
        <v>0</v>
      </c>
      <c r="E268" s="75">
        <v>0</v>
      </c>
      <c r="F268" s="75">
        <f>29.382+7.341</f>
        <v>36.722999999999999</v>
      </c>
      <c r="G268" s="75">
        <v>24.416</v>
      </c>
      <c r="H268" s="75">
        <f>29.089+4</f>
        <v>33.088999999999999</v>
      </c>
      <c r="I268" s="75">
        <v>20.721999999999998</v>
      </c>
      <c r="J268" s="73">
        <v>52040050005</v>
      </c>
      <c r="K268" s="30" t="s">
        <v>1691</v>
      </c>
      <c r="L268" s="30" t="s">
        <v>1692</v>
      </c>
      <c r="M268" s="22" t="s">
        <v>144</v>
      </c>
      <c r="N268" s="22" t="s">
        <v>373</v>
      </c>
      <c r="O268" s="73" t="s">
        <v>381</v>
      </c>
      <c r="P268" s="22" t="s">
        <v>775</v>
      </c>
      <c r="Q268" s="22" t="s">
        <v>373</v>
      </c>
      <c r="R268" s="22">
        <v>4</v>
      </c>
      <c r="S268" s="21">
        <v>22</v>
      </c>
      <c r="T268" s="22">
        <v>1</v>
      </c>
      <c r="U268" s="21">
        <v>91</v>
      </c>
      <c r="V268" s="21">
        <v>92</v>
      </c>
      <c r="W268" s="21">
        <v>0</v>
      </c>
      <c r="X268" s="21">
        <v>92</v>
      </c>
      <c r="Y268" s="94">
        <v>92</v>
      </c>
      <c r="Z268" s="116">
        <v>92</v>
      </c>
      <c r="AA268" s="87">
        <v>0</v>
      </c>
      <c r="AB268" s="29">
        <v>7338678400</v>
      </c>
      <c r="AC268" s="29">
        <v>11399148641</v>
      </c>
      <c r="AD268" s="21">
        <v>6717624838</v>
      </c>
      <c r="AE268" s="29">
        <f t="shared" si="4"/>
        <v>25455451879</v>
      </c>
      <c r="AF268" s="30" t="s">
        <v>358</v>
      </c>
    </row>
    <row r="269" spans="1:32" ht="55.2" x14ac:dyDescent="0.3">
      <c r="A269" s="148"/>
      <c r="B269" s="159">
        <v>0</v>
      </c>
      <c r="C269" s="148"/>
      <c r="D269" s="160">
        <v>0</v>
      </c>
      <c r="E269" s="75">
        <v>0</v>
      </c>
      <c r="F269" s="75">
        <v>8.8529999999999998</v>
      </c>
      <c r="G269" s="75">
        <v>7.4809999999999999</v>
      </c>
      <c r="H269" s="75">
        <v>8.4239999999999995</v>
      </c>
      <c r="I269" s="75">
        <v>6.1890000000000001</v>
      </c>
      <c r="J269" s="73">
        <v>52040050006</v>
      </c>
      <c r="K269" s="30" t="s">
        <v>1693</v>
      </c>
      <c r="L269" s="30" t="s">
        <v>1694</v>
      </c>
      <c r="M269" s="22" t="s">
        <v>107</v>
      </c>
      <c r="N269" s="22" t="s">
        <v>374</v>
      </c>
      <c r="O269" s="73" t="s">
        <v>381</v>
      </c>
      <c r="P269" s="22" t="s">
        <v>776</v>
      </c>
      <c r="Q269" s="22" t="s">
        <v>374</v>
      </c>
      <c r="R269" s="22">
        <v>4</v>
      </c>
      <c r="S269" s="21">
        <v>22</v>
      </c>
      <c r="T269" s="22">
        <v>1</v>
      </c>
      <c r="U269" s="21">
        <v>50</v>
      </c>
      <c r="V269" s="21">
        <v>100</v>
      </c>
      <c r="W269" s="21">
        <v>0</v>
      </c>
      <c r="X269" s="21">
        <v>70</v>
      </c>
      <c r="Y269" s="94">
        <v>80</v>
      </c>
      <c r="Z269" s="116">
        <v>100</v>
      </c>
      <c r="AA269" s="87">
        <v>0</v>
      </c>
      <c r="AB269" s="29">
        <v>122721600</v>
      </c>
      <c r="AC269" s="29">
        <v>300000000</v>
      </c>
      <c r="AD269" s="29">
        <v>291108300</v>
      </c>
      <c r="AE269" s="29">
        <f t="shared" si="4"/>
        <v>713829900</v>
      </c>
      <c r="AF269" s="30" t="s">
        <v>358</v>
      </c>
    </row>
    <row r="270" spans="1:32" ht="96.6" x14ac:dyDescent="0.3">
      <c r="A270" s="148"/>
      <c r="B270" s="159">
        <v>0</v>
      </c>
      <c r="C270" s="148"/>
      <c r="D270" s="160">
        <v>0</v>
      </c>
      <c r="E270" s="75">
        <v>0</v>
      </c>
      <c r="F270" s="75">
        <f>7.341-7.341</f>
        <v>0</v>
      </c>
      <c r="G270" s="75">
        <v>7.3849999999999998</v>
      </c>
      <c r="H270" s="75">
        <v>8.3390000000000004</v>
      </c>
      <c r="I270" s="75">
        <v>5.7669999999999995</v>
      </c>
      <c r="J270" s="73">
        <v>52040050007</v>
      </c>
      <c r="K270" s="30" t="s">
        <v>1695</v>
      </c>
      <c r="L270" s="30" t="s">
        <v>1696</v>
      </c>
      <c r="M270" s="22" t="s">
        <v>107</v>
      </c>
      <c r="N270" s="22" t="s">
        <v>374</v>
      </c>
      <c r="O270" s="73" t="s">
        <v>560</v>
      </c>
      <c r="P270" s="22" t="s">
        <v>777</v>
      </c>
      <c r="Q270" s="22" t="s">
        <v>373</v>
      </c>
      <c r="R270" s="22">
        <v>4</v>
      </c>
      <c r="S270" s="21">
        <v>22</v>
      </c>
      <c r="T270" s="22">
        <v>1</v>
      </c>
      <c r="U270" s="21">
        <v>0</v>
      </c>
      <c r="V270" s="21">
        <v>100</v>
      </c>
      <c r="W270" s="21">
        <v>0</v>
      </c>
      <c r="X270" s="21">
        <v>0</v>
      </c>
      <c r="Y270" s="94">
        <v>80</v>
      </c>
      <c r="Z270" s="116">
        <v>100</v>
      </c>
      <c r="AA270" s="87">
        <v>0</v>
      </c>
      <c r="AB270" s="29">
        <v>0</v>
      </c>
      <c r="AC270" s="29">
        <v>90000000</v>
      </c>
      <c r="AD270" s="29">
        <v>200000000</v>
      </c>
      <c r="AE270" s="29">
        <f t="shared" si="4"/>
        <v>290000000</v>
      </c>
      <c r="AF270" s="30" t="s">
        <v>358</v>
      </c>
    </row>
    <row r="271" spans="1:32" x14ac:dyDescent="0.3">
      <c r="A271" s="24"/>
      <c r="B271" s="38"/>
      <c r="C271" s="24"/>
      <c r="D271" s="39"/>
      <c r="E271" s="35"/>
      <c r="F271" s="35"/>
      <c r="G271" s="35"/>
      <c r="H271" s="35"/>
      <c r="I271" s="35"/>
      <c r="J271" s="24"/>
      <c r="K271" s="40"/>
      <c r="L271" s="40"/>
      <c r="M271" s="41"/>
      <c r="N271" s="41"/>
      <c r="O271" s="24"/>
      <c r="P271" s="41"/>
      <c r="Q271" s="41"/>
      <c r="R271" s="41"/>
      <c r="S271" s="52"/>
      <c r="T271" s="41"/>
      <c r="U271" s="52"/>
      <c r="V271" s="52"/>
      <c r="W271" s="52"/>
      <c r="X271" s="52"/>
      <c r="Y271" s="52"/>
      <c r="Z271" s="55"/>
      <c r="AA271" s="52"/>
      <c r="AB271" s="53"/>
      <c r="AC271" s="53"/>
      <c r="AD271" s="29"/>
      <c r="AE271" s="52"/>
      <c r="AF271" s="40"/>
    </row>
    <row r="272" spans="1:32" ht="51" customHeight="1" x14ac:dyDescent="0.3">
      <c r="A272" s="148" t="s">
        <v>1697</v>
      </c>
      <c r="B272" s="159">
        <v>11.943</v>
      </c>
      <c r="C272" s="148" t="s">
        <v>1698</v>
      </c>
      <c r="D272" s="160">
        <v>51.566000000000003</v>
      </c>
      <c r="E272" s="75">
        <v>7.2779999999999996</v>
      </c>
      <c r="F272" s="75">
        <v>8.3669999999999991</v>
      </c>
      <c r="G272" s="75">
        <v>8.5340000000000007</v>
      </c>
      <c r="H272" s="75">
        <v>6.1360000000000001</v>
      </c>
      <c r="I272" s="75">
        <v>7.5789999999999997</v>
      </c>
      <c r="J272" s="73">
        <v>52050010001</v>
      </c>
      <c r="K272" s="30" t="s">
        <v>1699</v>
      </c>
      <c r="L272" s="30" t="s">
        <v>1700</v>
      </c>
      <c r="M272" s="22" t="s">
        <v>144</v>
      </c>
      <c r="N272" s="22" t="s">
        <v>373</v>
      </c>
      <c r="O272" s="73" t="s">
        <v>381</v>
      </c>
      <c r="P272" s="22" t="s">
        <v>778</v>
      </c>
      <c r="Q272" s="22" t="s">
        <v>373</v>
      </c>
      <c r="R272" s="22">
        <v>11</v>
      </c>
      <c r="S272" s="21">
        <v>33</v>
      </c>
      <c r="T272" s="22">
        <v>5</v>
      </c>
      <c r="U272" s="21">
        <v>6</v>
      </c>
      <c r="V272" s="21">
        <v>9</v>
      </c>
      <c r="W272" s="21">
        <v>5</v>
      </c>
      <c r="X272" s="21">
        <v>7</v>
      </c>
      <c r="Y272" s="94">
        <v>8</v>
      </c>
      <c r="Z272" s="116">
        <v>9</v>
      </c>
      <c r="AA272" s="87">
        <v>252655715</v>
      </c>
      <c r="AB272" s="29">
        <v>281220145</v>
      </c>
      <c r="AC272" s="29">
        <v>350455134</v>
      </c>
      <c r="AD272" s="29">
        <v>315047694</v>
      </c>
      <c r="AE272" s="29">
        <f t="shared" si="4"/>
        <v>1199378688</v>
      </c>
      <c r="AF272" s="30" t="s">
        <v>355</v>
      </c>
    </row>
    <row r="273" spans="1:32" ht="41.4" x14ac:dyDescent="0.3">
      <c r="A273" s="148"/>
      <c r="B273" s="159">
        <v>0</v>
      </c>
      <c r="C273" s="148"/>
      <c r="D273" s="160">
        <v>0</v>
      </c>
      <c r="E273" s="75">
        <v>17.231999999999999</v>
      </c>
      <c r="F273" s="75">
        <f>22.298+3</f>
        <v>25.297999999999998</v>
      </c>
      <c r="G273" s="75">
        <v>23.058</v>
      </c>
      <c r="H273" s="75">
        <f>29.861-4-5</f>
        <v>20.861000000000001</v>
      </c>
      <c r="I273" s="75">
        <v>23.111999999999998</v>
      </c>
      <c r="J273" s="73">
        <v>52050010002</v>
      </c>
      <c r="K273" s="30" t="s">
        <v>1701</v>
      </c>
      <c r="L273" s="30" t="s">
        <v>1702</v>
      </c>
      <c r="M273" s="22" t="s">
        <v>144</v>
      </c>
      <c r="N273" s="22" t="s">
        <v>373</v>
      </c>
      <c r="O273" s="73" t="s">
        <v>381</v>
      </c>
      <c r="P273" s="22" t="s">
        <v>779</v>
      </c>
      <c r="Q273" s="22" t="s">
        <v>373</v>
      </c>
      <c r="R273" s="22">
        <v>11</v>
      </c>
      <c r="S273" s="21">
        <v>33</v>
      </c>
      <c r="T273" s="22">
        <v>5</v>
      </c>
      <c r="U273" s="21">
        <v>6</v>
      </c>
      <c r="V273" s="21">
        <v>8</v>
      </c>
      <c r="W273" s="21">
        <v>4</v>
      </c>
      <c r="X273" s="21">
        <v>8</v>
      </c>
      <c r="Y273" s="94">
        <v>7</v>
      </c>
      <c r="Z273" s="116">
        <v>8</v>
      </c>
      <c r="AA273" s="87">
        <v>3405892463</v>
      </c>
      <c r="AB273" s="29">
        <v>2290954680</v>
      </c>
      <c r="AC273" s="29">
        <v>1634670558</v>
      </c>
      <c r="AD273" s="29">
        <v>2056514678</v>
      </c>
      <c r="AE273" s="29">
        <f t="shared" si="4"/>
        <v>9388032379</v>
      </c>
      <c r="AF273" s="30" t="s">
        <v>355</v>
      </c>
    </row>
    <row r="274" spans="1:32" ht="55.2" x14ac:dyDescent="0.3">
      <c r="A274" s="148"/>
      <c r="B274" s="159">
        <v>0</v>
      </c>
      <c r="C274" s="148"/>
      <c r="D274" s="160">
        <v>0</v>
      </c>
      <c r="E274" s="75">
        <v>7.0019999999999998</v>
      </c>
      <c r="F274" s="75">
        <v>6.8279999999999994</v>
      </c>
      <c r="G274" s="75">
        <v>6.1539999999999999</v>
      </c>
      <c r="H274" s="75">
        <f>5.993-1.5</f>
        <v>4.4930000000000003</v>
      </c>
      <c r="I274" s="75">
        <v>6.4949999999999992</v>
      </c>
      <c r="J274" s="73">
        <v>52050010003</v>
      </c>
      <c r="K274" s="30" t="s">
        <v>1703</v>
      </c>
      <c r="L274" s="30" t="s">
        <v>1704</v>
      </c>
      <c r="M274" s="22" t="s">
        <v>144</v>
      </c>
      <c r="N274" s="22" t="s">
        <v>373</v>
      </c>
      <c r="O274" s="73" t="s">
        <v>381</v>
      </c>
      <c r="P274" s="22" t="s">
        <v>780</v>
      </c>
      <c r="Q274" s="22" t="s">
        <v>373</v>
      </c>
      <c r="R274" s="22">
        <v>11</v>
      </c>
      <c r="S274" s="21">
        <v>33</v>
      </c>
      <c r="T274" s="22">
        <v>5</v>
      </c>
      <c r="U274" s="21">
        <v>3</v>
      </c>
      <c r="V274" s="21">
        <v>27</v>
      </c>
      <c r="W274" s="21">
        <v>19</v>
      </c>
      <c r="X274" s="21">
        <v>18</v>
      </c>
      <c r="Y274" s="94">
        <v>18</v>
      </c>
      <c r="Z274" s="116">
        <v>27</v>
      </c>
      <c r="AA274" s="87">
        <v>479612</v>
      </c>
      <c r="AB274" s="29">
        <v>160000000</v>
      </c>
      <c r="AC274" s="29">
        <v>160000000</v>
      </c>
      <c r="AD274" s="29">
        <v>59782950</v>
      </c>
      <c r="AE274" s="29">
        <f t="shared" si="4"/>
        <v>380262562</v>
      </c>
      <c r="AF274" s="30" t="s">
        <v>355</v>
      </c>
    </row>
    <row r="275" spans="1:32" ht="55.2" x14ac:dyDescent="0.3">
      <c r="A275" s="148"/>
      <c r="B275" s="159">
        <v>0</v>
      </c>
      <c r="C275" s="148"/>
      <c r="D275" s="160">
        <v>0</v>
      </c>
      <c r="E275" s="75">
        <v>0</v>
      </c>
      <c r="F275" s="75">
        <v>10.221</v>
      </c>
      <c r="G275" s="75">
        <v>8.4009999999999998</v>
      </c>
      <c r="H275" s="75">
        <v>6.721000000000001</v>
      </c>
      <c r="I275" s="75">
        <v>6.3360000000000003</v>
      </c>
      <c r="J275" s="73">
        <v>52050010004</v>
      </c>
      <c r="K275" s="30" t="s">
        <v>1705</v>
      </c>
      <c r="L275" s="30" t="s">
        <v>1706</v>
      </c>
      <c r="M275" s="22" t="s">
        <v>144</v>
      </c>
      <c r="N275" s="22" t="s">
        <v>373</v>
      </c>
      <c r="O275" s="73" t="s">
        <v>381</v>
      </c>
      <c r="P275" s="22" t="s">
        <v>781</v>
      </c>
      <c r="Q275" s="22" t="s">
        <v>373</v>
      </c>
      <c r="R275" s="22">
        <v>11</v>
      </c>
      <c r="S275" s="21">
        <v>33</v>
      </c>
      <c r="T275" s="22">
        <v>5</v>
      </c>
      <c r="U275" s="21">
        <v>1</v>
      </c>
      <c r="V275" s="21">
        <v>1</v>
      </c>
      <c r="W275" s="21">
        <v>0</v>
      </c>
      <c r="X275" s="21">
        <v>1</v>
      </c>
      <c r="Y275" s="94">
        <v>1</v>
      </c>
      <c r="Z275" s="116">
        <v>1</v>
      </c>
      <c r="AA275" s="87">
        <v>0</v>
      </c>
      <c r="AB275" s="29">
        <v>356959436</v>
      </c>
      <c r="AC275" s="29">
        <v>356959436</v>
      </c>
      <c r="AD275" s="29">
        <v>158415283</v>
      </c>
      <c r="AE275" s="29">
        <f t="shared" ref="AE275:AE298" si="5">SUM(AA275:AD275)</f>
        <v>872334155</v>
      </c>
      <c r="AF275" s="30" t="s">
        <v>355</v>
      </c>
    </row>
    <row r="276" spans="1:32" ht="69" x14ac:dyDescent="0.3">
      <c r="A276" s="148"/>
      <c r="B276" s="159">
        <v>0</v>
      </c>
      <c r="C276" s="148"/>
      <c r="D276" s="160">
        <v>0</v>
      </c>
      <c r="E276" s="75">
        <v>10.286</v>
      </c>
      <c r="F276" s="75">
        <v>6.2829999999999995</v>
      </c>
      <c r="G276" s="75">
        <v>7.8680000000000003</v>
      </c>
      <c r="H276" s="75">
        <v>6.2450000000000001</v>
      </c>
      <c r="I276" s="75">
        <v>7.6700000000000008</v>
      </c>
      <c r="J276" s="73">
        <v>52050010005</v>
      </c>
      <c r="K276" s="30" t="s">
        <v>1707</v>
      </c>
      <c r="L276" s="30" t="s">
        <v>1708</v>
      </c>
      <c r="M276" s="22" t="s">
        <v>144</v>
      </c>
      <c r="N276" s="22" t="s">
        <v>373</v>
      </c>
      <c r="O276" s="73" t="s">
        <v>381</v>
      </c>
      <c r="P276" s="22" t="s">
        <v>782</v>
      </c>
      <c r="Q276" s="22" t="s">
        <v>373</v>
      </c>
      <c r="R276" s="22">
        <v>11</v>
      </c>
      <c r="S276" s="21">
        <v>33</v>
      </c>
      <c r="T276" s="22">
        <v>5</v>
      </c>
      <c r="U276" s="21">
        <v>72</v>
      </c>
      <c r="V276" s="21">
        <v>72</v>
      </c>
      <c r="W276" s="21">
        <v>72</v>
      </c>
      <c r="X276" s="21">
        <v>72</v>
      </c>
      <c r="Y276" s="94">
        <v>72</v>
      </c>
      <c r="Z276" s="116">
        <v>72</v>
      </c>
      <c r="AA276" s="87">
        <v>649446634</v>
      </c>
      <c r="AB276" s="29">
        <v>484043969</v>
      </c>
      <c r="AC276" s="29">
        <v>484043969</v>
      </c>
      <c r="AD276" s="29">
        <v>389244593</v>
      </c>
      <c r="AE276" s="29">
        <f t="shared" si="5"/>
        <v>2006779165</v>
      </c>
      <c r="AF276" s="30" t="s">
        <v>355</v>
      </c>
    </row>
    <row r="277" spans="1:32" ht="41.4" x14ac:dyDescent="0.3">
      <c r="A277" s="148"/>
      <c r="B277" s="159">
        <v>0</v>
      </c>
      <c r="C277" s="148"/>
      <c r="D277" s="160">
        <v>0</v>
      </c>
      <c r="E277" s="75">
        <v>7.819</v>
      </c>
      <c r="F277" s="75">
        <v>6.9409999999999998</v>
      </c>
      <c r="G277" s="75">
        <v>6.8360000000000003</v>
      </c>
      <c r="H277" s="75">
        <f>7.491-2.5</f>
        <v>4.9909999999999997</v>
      </c>
      <c r="I277" s="75">
        <v>7.2720000000000002</v>
      </c>
      <c r="J277" s="73">
        <v>52050010006</v>
      </c>
      <c r="K277" s="30" t="s">
        <v>1709</v>
      </c>
      <c r="L277" s="30" t="s">
        <v>1710</v>
      </c>
      <c r="M277" s="22" t="s">
        <v>144</v>
      </c>
      <c r="N277" s="22" t="s">
        <v>373</v>
      </c>
      <c r="O277" s="73" t="s">
        <v>381</v>
      </c>
      <c r="P277" s="22" t="s">
        <v>783</v>
      </c>
      <c r="Q277" s="22" t="s">
        <v>373</v>
      </c>
      <c r="R277" s="22">
        <v>11</v>
      </c>
      <c r="S277" s="21">
        <v>33</v>
      </c>
      <c r="T277" s="22">
        <v>5</v>
      </c>
      <c r="U277" s="21">
        <v>1</v>
      </c>
      <c r="V277" s="21">
        <v>1</v>
      </c>
      <c r="W277" s="21">
        <v>1</v>
      </c>
      <c r="X277" s="21">
        <v>1</v>
      </c>
      <c r="Y277" s="94">
        <v>1</v>
      </c>
      <c r="Z277" s="116">
        <v>1</v>
      </c>
      <c r="AA277" s="87">
        <v>161868523</v>
      </c>
      <c r="AB277" s="29">
        <v>287523210</v>
      </c>
      <c r="AC277" s="29">
        <v>137523210</v>
      </c>
      <c r="AD277" s="29">
        <v>92284539</v>
      </c>
      <c r="AE277" s="29">
        <f t="shared" si="5"/>
        <v>679199482</v>
      </c>
      <c r="AF277" s="30" t="s">
        <v>355</v>
      </c>
    </row>
    <row r="278" spans="1:32" ht="69" x14ac:dyDescent="0.3">
      <c r="A278" s="148"/>
      <c r="B278" s="159">
        <v>0</v>
      </c>
      <c r="C278" s="148"/>
      <c r="D278" s="160">
        <v>0</v>
      </c>
      <c r="E278" s="75">
        <v>11.225999999999999</v>
      </c>
      <c r="F278" s="75">
        <f>10.415+3.303</f>
        <v>13.718</v>
      </c>
      <c r="G278" s="75">
        <v>9.843</v>
      </c>
      <c r="H278" s="75">
        <f>10.981-2</f>
        <v>8.9809999999999999</v>
      </c>
      <c r="I278" s="75">
        <v>10.616</v>
      </c>
      <c r="J278" s="73">
        <v>52050010007</v>
      </c>
      <c r="K278" s="30" t="s">
        <v>1711</v>
      </c>
      <c r="L278" s="30" t="s">
        <v>1712</v>
      </c>
      <c r="M278" s="22" t="s">
        <v>144</v>
      </c>
      <c r="N278" s="22" t="s">
        <v>373</v>
      </c>
      <c r="O278" s="73" t="s">
        <v>381</v>
      </c>
      <c r="P278" s="22" t="s">
        <v>784</v>
      </c>
      <c r="Q278" s="22" t="s">
        <v>373</v>
      </c>
      <c r="R278" s="22">
        <v>11</v>
      </c>
      <c r="S278" s="21">
        <v>33</v>
      </c>
      <c r="T278" s="22">
        <v>5</v>
      </c>
      <c r="U278" s="21">
        <v>3</v>
      </c>
      <c r="V278" s="21">
        <v>3</v>
      </c>
      <c r="W278" s="21">
        <v>3</v>
      </c>
      <c r="X278" s="21">
        <v>3</v>
      </c>
      <c r="Y278" s="94">
        <v>3</v>
      </c>
      <c r="Z278" s="116">
        <v>3</v>
      </c>
      <c r="AA278" s="87">
        <v>835163760</v>
      </c>
      <c r="AB278" s="29">
        <v>703281074</v>
      </c>
      <c r="AC278" s="29">
        <v>605046725</v>
      </c>
      <c r="AD278" s="29">
        <v>574831443</v>
      </c>
      <c r="AE278" s="29">
        <f t="shared" si="5"/>
        <v>2718323002</v>
      </c>
      <c r="AF278" s="30" t="s">
        <v>355</v>
      </c>
    </row>
    <row r="279" spans="1:32" ht="55.2" x14ac:dyDescent="0.3">
      <c r="A279" s="148"/>
      <c r="B279" s="159">
        <v>0</v>
      </c>
      <c r="C279" s="148"/>
      <c r="D279" s="160">
        <v>0</v>
      </c>
      <c r="E279" s="75">
        <v>0</v>
      </c>
      <c r="F279" s="75">
        <v>0</v>
      </c>
      <c r="G279" s="75">
        <v>0</v>
      </c>
      <c r="H279" s="75">
        <f>9.939-6</f>
        <v>3.9390000000000001</v>
      </c>
      <c r="I279" s="75">
        <v>2.4849999999999999</v>
      </c>
      <c r="J279" s="73">
        <v>52050010008</v>
      </c>
      <c r="K279" s="30" t="s">
        <v>1713</v>
      </c>
      <c r="L279" s="30" t="s">
        <v>1714</v>
      </c>
      <c r="M279" s="22" t="s">
        <v>107</v>
      </c>
      <c r="N279" s="22" t="s">
        <v>373</v>
      </c>
      <c r="O279" s="73" t="s">
        <v>419</v>
      </c>
      <c r="P279" s="22" t="s">
        <v>785</v>
      </c>
      <c r="Q279" s="22" t="s">
        <v>373</v>
      </c>
      <c r="R279" s="22">
        <v>11</v>
      </c>
      <c r="S279" s="21">
        <v>33</v>
      </c>
      <c r="T279" s="22">
        <v>5</v>
      </c>
      <c r="U279" s="21">
        <v>0</v>
      </c>
      <c r="V279" s="21">
        <v>2</v>
      </c>
      <c r="W279" s="21">
        <v>0</v>
      </c>
      <c r="X279" s="21">
        <v>0</v>
      </c>
      <c r="Y279" s="94">
        <v>0</v>
      </c>
      <c r="Z279" s="116">
        <v>2</v>
      </c>
      <c r="AA279" s="87">
        <v>0</v>
      </c>
      <c r="AB279" s="29">
        <v>0</v>
      </c>
      <c r="AC279" s="29">
        <v>0</v>
      </c>
      <c r="AD279" s="29">
        <v>41910000</v>
      </c>
      <c r="AE279" s="29">
        <f t="shared" si="5"/>
        <v>41910000</v>
      </c>
      <c r="AF279" s="30" t="s">
        <v>363</v>
      </c>
    </row>
    <row r="280" spans="1:32" ht="82.8" x14ac:dyDescent="0.3">
      <c r="A280" s="148"/>
      <c r="B280" s="159">
        <v>0</v>
      </c>
      <c r="C280" s="148"/>
      <c r="D280" s="160">
        <v>0</v>
      </c>
      <c r="E280" s="75">
        <v>29.109000000000002</v>
      </c>
      <c r="F280" s="75">
        <f>16.344+6</f>
        <v>22.344000000000001</v>
      </c>
      <c r="G280" s="75">
        <v>17.16</v>
      </c>
      <c r="H280" s="75">
        <f>16.633-2.5+6.5+6+1.5+2.5</f>
        <v>30.632999999999999</v>
      </c>
      <c r="I280" s="75">
        <v>19.811</v>
      </c>
      <c r="J280" s="73">
        <v>52050010009</v>
      </c>
      <c r="K280" s="30" t="s">
        <v>1715</v>
      </c>
      <c r="L280" s="30" t="s">
        <v>1716</v>
      </c>
      <c r="M280" s="22" t="s">
        <v>144</v>
      </c>
      <c r="N280" s="22" t="s">
        <v>373</v>
      </c>
      <c r="O280" s="73" t="s">
        <v>381</v>
      </c>
      <c r="P280" s="22" t="s">
        <v>786</v>
      </c>
      <c r="Q280" s="22" t="s">
        <v>373</v>
      </c>
      <c r="R280" s="22">
        <v>11</v>
      </c>
      <c r="S280" s="21">
        <v>33</v>
      </c>
      <c r="T280" s="22">
        <v>6</v>
      </c>
      <c r="U280" s="21">
        <v>38</v>
      </c>
      <c r="V280" s="21">
        <v>38</v>
      </c>
      <c r="W280" s="21">
        <v>38</v>
      </c>
      <c r="X280" s="21">
        <v>38</v>
      </c>
      <c r="Y280" s="94">
        <v>38</v>
      </c>
      <c r="Z280" s="116">
        <v>38</v>
      </c>
      <c r="AA280" s="87">
        <v>13659046000</v>
      </c>
      <c r="AB280" s="29">
        <v>2107025252</v>
      </c>
      <c r="AC280" s="29">
        <v>2354231002</v>
      </c>
      <c r="AD280" s="29">
        <v>7591771496</v>
      </c>
      <c r="AE280" s="29">
        <f t="shared" si="5"/>
        <v>25712073750</v>
      </c>
      <c r="AF280" s="30" t="s">
        <v>359</v>
      </c>
    </row>
    <row r="281" spans="1:32" ht="124.2" x14ac:dyDescent="0.3">
      <c r="A281" s="148"/>
      <c r="B281" s="159">
        <v>0</v>
      </c>
      <c r="C281" s="148"/>
      <c r="D281" s="160">
        <v>0</v>
      </c>
      <c r="E281" s="75">
        <v>10.048</v>
      </c>
      <c r="F281" s="75">
        <f>12.303-6-3-3.303</f>
        <v>0</v>
      </c>
      <c r="G281" s="75">
        <v>12.145999999999999</v>
      </c>
      <c r="H281" s="96">
        <f>0+6.5-6.5+7</f>
        <v>7</v>
      </c>
      <c r="I281" s="75">
        <v>8.6240000000000006</v>
      </c>
      <c r="J281" s="73">
        <v>52050010010</v>
      </c>
      <c r="K281" s="30" t="s">
        <v>1717</v>
      </c>
      <c r="L281" s="30" t="s">
        <v>1718</v>
      </c>
      <c r="M281" s="22" t="s">
        <v>107</v>
      </c>
      <c r="N281" s="22" t="s">
        <v>374</v>
      </c>
      <c r="O281" s="73" t="s">
        <v>787</v>
      </c>
      <c r="P281" s="22" t="s">
        <v>788</v>
      </c>
      <c r="Q281" s="22" t="s">
        <v>373</v>
      </c>
      <c r="R281" s="22">
        <v>11</v>
      </c>
      <c r="S281" s="21">
        <v>33</v>
      </c>
      <c r="T281" s="22">
        <v>5</v>
      </c>
      <c r="U281" s="48">
        <v>56.5</v>
      </c>
      <c r="V281" s="21">
        <v>100</v>
      </c>
      <c r="W281" s="48">
        <v>76</v>
      </c>
      <c r="X281" s="48">
        <v>0</v>
      </c>
      <c r="Y281" s="102">
        <v>65.7</v>
      </c>
      <c r="Z281" s="90">
        <v>100</v>
      </c>
      <c r="AA281" s="87">
        <v>800000000</v>
      </c>
      <c r="AB281" s="29">
        <v>0</v>
      </c>
      <c r="AC281" s="29">
        <v>110000000</v>
      </c>
      <c r="AD281" s="29">
        <v>500000000</v>
      </c>
      <c r="AE281" s="29">
        <f t="shared" si="5"/>
        <v>1410000000</v>
      </c>
      <c r="AF281" s="30" t="s">
        <v>363</v>
      </c>
    </row>
    <row r="282" spans="1:32" ht="55.2" x14ac:dyDescent="0.3">
      <c r="A282" s="148"/>
      <c r="B282" s="159">
        <v>0</v>
      </c>
      <c r="C282" s="148" t="s">
        <v>1719</v>
      </c>
      <c r="D282" s="160">
        <v>48.433999999999997</v>
      </c>
      <c r="E282" s="75">
        <v>14.963999999999999</v>
      </c>
      <c r="F282" s="75">
        <f>10.515-1.5</f>
        <v>9.0150000000000006</v>
      </c>
      <c r="G282" s="74">
        <f>12.485-3</f>
        <v>9.4849999999999994</v>
      </c>
      <c r="H282" s="75">
        <f>12.54-2</f>
        <v>10.54</v>
      </c>
      <c r="I282" s="75">
        <v>11.375999999999999</v>
      </c>
      <c r="J282" s="73">
        <v>52050020001</v>
      </c>
      <c r="K282" s="30" t="s">
        <v>1720</v>
      </c>
      <c r="L282" s="30" t="s">
        <v>1721</v>
      </c>
      <c r="M282" s="22" t="s">
        <v>107</v>
      </c>
      <c r="N282" s="22" t="s">
        <v>373</v>
      </c>
      <c r="O282" s="73" t="s">
        <v>381</v>
      </c>
      <c r="P282" s="22" t="s">
        <v>789</v>
      </c>
      <c r="Q282" s="22" t="s">
        <v>373</v>
      </c>
      <c r="R282" s="22">
        <v>8</v>
      </c>
      <c r="S282" s="21">
        <v>33</v>
      </c>
      <c r="T282" s="22">
        <v>5</v>
      </c>
      <c r="U282" s="21">
        <v>20388</v>
      </c>
      <c r="V282" s="21">
        <v>56558</v>
      </c>
      <c r="W282" s="21">
        <v>28154</v>
      </c>
      <c r="X282" s="21">
        <v>35128</v>
      </c>
      <c r="Y282" s="94">
        <v>42982</v>
      </c>
      <c r="Z282" s="116">
        <v>56558</v>
      </c>
      <c r="AA282" s="87">
        <v>4077291069</v>
      </c>
      <c r="AB282" s="29">
        <v>2787809695</v>
      </c>
      <c r="AC282" s="29">
        <v>4789973751</v>
      </c>
      <c r="AD282" s="29">
        <v>5107061920</v>
      </c>
      <c r="AE282" s="29">
        <f t="shared" si="5"/>
        <v>16762136435</v>
      </c>
      <c r="AF282" s="30" t="s">
        <v>355</v>
      </c>
    </row>
    <row r="283" spans="1:32" ht="55.2" x14ac:dyDescent="0.3">
      <c r="A283" s="148"/>
      <c r="B283" s="159">
        <v>0</v>
      </c>
      <c r="C283" s="148"/>
      <c r="D283" s="160">
        <v>0</v>
      </c>
      <c r="E283" s="75">
        <v>11.071999999999999</v>
      </c>
      <c r="F283" s="75">
        <f>9.89+1.073-1.073</f>
        <v>9.89</v>
      </c>
      <c r="G283" s="74">
        <f>8.248+4.084-4.084</f>
        <v>8.2479999999999993</v>
      </c>
      <c r="H283" s="75">
        <f>8.841+2+1.5</f>
        <v>12.340999999999999</v>
      </c>
      <c r="I283" s="75">
        <v>10.013</v>
      </c>
      <c r="J283" s="73">
        <v>52050020002</v>
      </c>
      <c r="K283" s="30" t="s">
        <v>1722</v>
      </c>
      <c r="L283" s="30" t="s">
        <v>1723</v>
      </c>
      <c r="M283" s="22" t="s">
        <v>144</v>
      </c>
      <c r="N283" s="22" t="s">
        <v>373</v>
      </c>
      <c r="O283" s="73" t="s">
        <v>381</v>
      </c>
      <c r="P283" s="22" t="s">
        <v>790</v>
      </c>
      <c r="Q283" s="22" t="s">
        <v>373</v>
      </c>
      <c r="R283" s="22">
        <v>8</v>
      </c>
      <c r="S283" s="21">
        <v>33</v>
      </c>
      <c r="T283" s="22">
        <v>5</v>
      </c>
      <c r="U283" s="21">
        <v>38</v>
      </c>
      <c r="V283" s="21">
        <v>135</v>
      </c>
      <c r="W283" s="21">
        <v>48</v>
      </c>
      <c r="X283" s="21">
        <v>83</v>
      </c>
      <c r="Y283" s="94">
        <v>69</v>
      </c>
      <c r="Z283" s="116">
        <v>135</v>
      </c>
      <c r="AA283" s="87">
        <v>2983553874</v>
      </c>
      <c r="AB283" s="29">
        <v>3274861980</v>
      </c>
      <c r="AC283" s="29">
        <v>4795336029</v>
      </c>
      <c r="AD283" s="29">
        <v>5751932668</v>
      </c>
      <c r="AE283" s="29">
        <f t="shared" si="5"/>
        <v>16805684551</v>
      </c>
      <c r="AF283" s="30" t="s">
        <v>355</v>
      </c>
    </row>
    <row r="284" spans="1:32" ht="69" x14ac:dyDescent="0.3">
      <c r="A284" s="148"/>
      <c r="B284" s="159">
        <v>0</v>
      </c>
      <c r="C284" s="148"/>
      <c r="D284" s="160">
        <v>0</v>
      </c>
      <c r="E284" s="75">
        <v>5.875</v>
      </c>
      <c r="F284" s="75">
        <v>4.2530000000000001</v>
      </c>
      <c r="G284" s="74">
        <v>3.3029999999999995</v>
      </c>
      <c r="H284" s="75">
        <v>3.3540000000000001</v>
      </c>
      <c r="I284" s="75">
        <v>4.1959999999999997</v>
      </c>
      <c r="J284" s="73">
        <v>52050020003</v>
      </c>
      <c r="K284" s="30" t="s">
        <v>1724</v>
      </c>
      <c r="L284" s="30" t="s">
        <v>1725</v>
      </c>
      <c r="M284" s="22" t="s">
        <v>144</v>
      </c>
      <c r="N284" s="22" t="s">
        <v>373</v>
      </c>
      <c r="O284" s="73" t="s">
        <v>381</v>
      </c>
      <c r="P284" s="22" t="s">
        <v>791</v>
      </c>
      <c r="Q284" s="22" t="s">
        <v>373</v>
      </c>
      <c r="R284" s="22">
        <v>8</v>
      </c>
      <c r="S284" s="21">
        <v>33</v>
      </c>
      <c r="T284" s="22">
        <v>5</v>
      </c>
      <c r="U284" s="21">
        <v>3</v>
      </c>
      <c r="V284" s="21">
        <v>3</v>
      </c>
      <c r="W284" s="21">
        <v>2</v>
      </c>
      <c r="X284" s="21">
        <v>3</v>
      </c>
      <c r="Y284" s="94">
        <v>3</v>
      </c>
      <c r="Z284" s="116">
        <v>3</v>
      </c>
      <c r="AA284" s="87">
        <v>162518094</v>
      </c>
      <c r="AB284" s="29">
        <v>350000000</v>
      </c>
      <c r="AC284" s="29">
        <v>226194509</v>
      </c>
      <c r="AD284" s="29">
        <v>692193904</v>
      </c>
      <c r="AE284" s="29">
        <f t="shared" si="5"/>
        <v>1430906507</v>
      </c>
      <c r="AF284" s="30" t="s">
        <v>355</v>
      </c>
    </row>
    <row r="285" spans="1:32" ht="41.4" x14ac:dyDescent="0.3">
      <c r="A285" s="148"/>
      <c r="B285" s="159">
        <v>0</v>
      </c>
      <c r="C285" s="148"/>
      <c r="D285" s="160">
        <v>0</v>
      </c>
      <c r="E285" s="75">
        <v>10.212</v>
      </c>
      <c r="F285" s="75">
        <v>6.05</v>
      </c>
      <c r="G285" s="74">
        <v>6.3250000000000002</v>
      </c>
      <c r="H285" s="75">
        <v>6.605999999999999</v>
      </c>
      <c r="I285" s="75">
        <v>7.298</v>
      </c>
      <c r="J285" s="73">
        <v>52050020004</v>
      </c>
      <c r="K285" s="30" t="s">
        <v>1726</v>
      </c>
      <c r="L285" s="30" t="s">
        <v>1727</v>
      </c>
      <c r="M285" s="22" t="s">
        <v>107</v>
      </c>
      <c r="N285" s="22" t="s">
        <v>373</v>
      </c>
      <c r="O285" s="73" t="s">
        <v>381</v>
      </c>
      <c r="P285" s="22" t="s">
        <v>792</v>
      </c>
      <c r="Q285" s="22" t="s">
        <v>373</v>
      </c>
      <c r="R285" s="22">
        <v>8</v>
      </c>
      <c r="S285" s="21">
        <v>33</v>
      </c>
      <c r="T285" s="22">
        <v>5</v>
      </c>
      <c r="U285" s="21">
        <v>731</v>
      </c>
      <c r="V285" s="21">
        <v>1435</v>
      </c>
      <c r="W285" s="21">
        <v>1175</v>
      </c>
      <c r="X285" s="21">
        <v>1041</v>
      </c>
      <c r="Y285" s="102">
        <v>1348</v>
      </c>
      <c r="Z285" s="116">
        <v>1435</v>
      </c>
      <c r="AA285" s="87">
        <v>1895737296</v>
      </c>
      <c r="AB285" s="29">
        <v>1247737266</v>
      </c>
      <c r="AC285" s="29">
        <v>2045911840</v>
      </c>
      <c r="AD285" s="29">
        <v>1762978000</v>
      </c>
      <c r="AE285" s="29">
        <f t="shared" si="5"/>
        <v>6952364402</v>
      </c>
      <c r="AF285" s="30" t="s">
        <v>355</v>
      </c>
    </row>
    <row r="286" spans="1:32" ht="41.4" x14ac:dyDescent="0.3">
      <c r="A286" s="148"/>
      <c r="B286" s="159">
        <v>0</v>
      </c>
      <c r="C286" s="148"/>
      <c r="D286" s="160">
        <v>0</v>
      </c>
      <c r="E286" s="75">
        <v>0</v>
      </c>
      <c r="F286" s="75">
        <v>5.6829999999999998</v>
      </c>
      <c r="G286" s="74">
        <v>4.7110000000000003</v>
      </c>
      <c r="H286" s="75">
        <v>4.7350000000000003</v>
      </c>
      <c r="I286" s="75">
        <v>3.782</v>
      </c>
      <c r="J286" s="73">
        <v>52050020005</v>
      </c>
      <c r="K286" s="30" t="s">
        <v>1728</v>
      </c>
      <c r="L286" s="30" t="s">
        <v>1729</v>
      </c>
      <c r="M286" s="22" t="s">
        <v>144</v>
      </c>
      <c r="N286" s="22" t="s">
        <v>373</v>
      </c>
      <c r="O286" s="73" t="s">
        <v>381</v>
      </c>
      <c r="P286" s="22" t="s">
        <v>793</v>
      </c>
      <c r="Q286" s="22" t="s">
        <v>373</v>
      </c>
      <c r="R286" s="22">
        <v>8</v>
      </c>
      <c r="S286" s="21">
        <v>33</v>
      </c>
      <c r="T286" s="22">
        <v>5</v>
      </c>
      <c r="U286" s="21">
        <v>0</v>
      </c>
      <c r="V286" s="21">
        <v>6</v>
      </c>
      <c r="W286" s="21">
        <v>0</v>
      </c>
      <c r="X286" s="21">
        <v>3</v>
      </c>
      <c r="Y286" s="94">
        <v>6</v>
      </c>
      <c r="Z286" s="116">
        <v>6</v>
      </c>
      <c r="AA286" s="87">
        <v>0</v>
      </c>
      <c r="AB286" s="29">
        <v>300000000</v>
      </c>
      <c r="AC286" s="29">
        <v>448500000</v>
      </c>
      <c r="AD286" s="29">
        <v>311000000</v>
      </c>
      <c r="AE286" s="29">
        <f t="shared" si="5"/>
        <v>1059500000</v>
      </c>
      <c r="AF286" s="30" t="s">
        <v>355</v>
      </c>
    </row>
    <row r="287" spans="1:32" ht="69" x14ac:dyDescent="0.3">
      <c r="A287" s="148"/>
      <c r="B287" s="159">
        <v>0</v>
      </c>
      <c r="C287" s="148"/>
      <c r="D287" s="160">
        <v>0</v>
      </c>
      <c r="E287" s="75">
        <v>21.701999999999998</v>
      </c>
      <c r="F287" s="75">
        <v>10.449</v>
      </c>
      <c r="G287" s="74">
        <v>8.1950000000000003</v>
      </c>
      <c r="H287" s="75">
        <f>8.475+1</f>
        <v>9.4749999999999996</v>
      </c>
      <c r="I287" s="75">
        <v>10.955</v>
      </c>
      <c r="J287" s="73">
        <v>52050020006</v>
      </c>
      <c r="K287" s="30" t="s">
        <v>1730</v>
      </c>
      <c r="L287" s="30" t="s">
        <v>1731</v>
      </c>
      <c r="M287" s="22" t="s">
        <v>107</v>
      </c>
      <c r="N287" s="22" t="s">
        <v>373</v>
      </c>
      <c r="O287" s="73" t="s">
        <v>381</v>
      </c>
      <c r="P287" s="22" t="s">
        <v>794</v>
      </c>
      <c r="Q287" s="22" t="s">
        <v>373</v>
      </c>
      <c r="R287" s="22">
        <v>1</v>
      </c>
      <c r="S287" s="21">
        <v>33</v>
      </c>
      <c r="T287" s="22">
        <v>5</v>
      </c>
      <c r="U287" s="21">
        <v>622</v>
      </c>
      <c r="V287" s="21">
        <v>1022</v>
      </c>
      <c r="W287" s="21">
        <v>764</v>
      </c>
      <c r="X287" s="21">
        <v>875</v>
      </c>
      <c r="Y287" s="94">
        <v>918</v>
      </c>
      <c r="Z287" s="128">
        <v>1080</v>
      </c>
      <c r="AA287" s="87">
        <v>5513855528</v>
      </c>
      <c r="AB287" s="29">
        <v>3194324000</v>
      </c>
      <c r="AC287" s="29">
        <v>3324913000</v>
      </c>
      <c r="AD287" s="53">
        <v>3312279800</v>
      </c>
      <c r="AE287" s="29">
        <f t="shared" si="5"/>
        <v>15345372328</v>
      </c>
      <c r="AF287" s="30" t="s">
        <v>355</v>
      </c>
    </row>
    <row r="288" spans="1:32" ht="55.2" x14ac:dyDescent="0.3">
      <c r="A288" s="148"/>
      <c r="B288" s="159">
        <v>0</v>
      </c>
      <c r="C288" s="148"/>
      <c r="D288" s="160">
        <v>0</v>
      </c>
      <c r="E288" s="75">
        <v>0</v>
      </c>
      <c r="F288" s="75">
        <v>6.4399999999999995</v>
      </c>
      <c r="G288" s="74">
        <v>6.5049999999999999</v>
      </c>
      <c r="H288" s="75">
        <f>6.564-1.5</f>
        <v>5.0640000000000001</v>
      </c>
      <c r="I288" s="75">
        <v>4.8769999999999998</v>
      </c>
      <c r="J288" s="73">
        <v>52050020007</v>
      </c>
      <c r="K288" s="30" t="s">
        <v>1732</v>
      </c>
      <c r="L288" s="30" t="s">
        <v>1733</v>
      </c>
      <c r="M288" s="22" t="s">
        <v>107</v>
      </c>
      <c r="N288" s="22" t="s">
        <v>373</v>
      </c>
      <c r="O288" s="73" t="s">
        <v>381</v>
      </c>
      <c r="P288" s="22" t="s">
        <v>795</v>
      </c>
      <c r="Q288" s="22" t="s">
        <v>373</v>
      </c>
      <c r="R288" s="22">
        <v>8</v>
      </c>
      <c r="S288" s="21">
        <v>33</v>
      </c>
      <c r="T288" s="22">
        <v>5</v>
      </c>
      <c r="U288" s="21">
        <v>3</v>
      </c>
      <c r="V288" s="21">
        <v>18</v>
      </c>
      <c r="W288" s="21">
        <v>0</v>
      </c>
      <c r="X288" s="21">
        <v>8</v>
      </c>
      <c r="Y288" s="94">
        <v>13</v>
      </c>
      <c r="Z288" s="116">
        <v>18</v>
      </c>
      <c r="AA288" s="87">
        <v>0</v>
      </c>
      <c r="AB288" s="29">
        <v>763048885</v>
      </c>
      <c r="AC288" s="29">
        <v>1109862992</v>
      </c>
      <c r="AD288" s="29">
        <v>571033092</v>
      </c>
      <c r="AE288" s="29">
        <f t="shared" si="5"/>
        <v>2443944969</v>
      </c>
      <c r="AF288" s="30" t="s">
        <v>355</v>
      </c>
    </row>
    <row r="289" spans="1:32" ht="55.2" x14ac:dyDescent="0.3">
      <c r="A289" s="148"/>
      <c r="B289" s="159">
        <v>0</v>
      </c>
      <c r="C289" s="148"/>
      <c r="D289" s="160">
        <v>0</v>
      </c>
      <c r="E289" s="75">
        <v>5.8620000000000001</v>
      </c>
      <c r="F289" s="75">
        <v>3.5659999999999998</v>
      </c>
      <c r="G289" s="74">
        <v>3.6139999999999999</v>
      </c>
      <c r="H289" s="75">
        <v>3.6389999999999998</v>
      </c>
      <c r="I289" s="75">
        <v>4.17</v>
      </c>
      <c r="J289" s="73">
        <v>52050020008</v>
      </c>
      <c r="K289" s="30" t="s">
        <v>1734</v>
      </c>
      <c r="L289" s="30" t="s">
        <v>1735</v>
      </c>
      <c r="M289" s="22" t="s">
        <v>107</v>
      </c>
      <c r="N289" s="22" t="s">
        <v>373</v>
      </c>
      <c r="O289" s="73" t="s">
        <v>381</v>
      </c>
      <c r="P289" s="22" t="s">
        <v>796</v>
      </c>
      <c r="Q289" s="22" t="s">
        <v>373</v>
      </c>
      <c r="R289" s="22">
        <v>8</v>
      </c>
      <c r="S289" s="21">
        <v>33</v>
      </c>
      <c r="T289" s="22">
        <v>5</v>
      </c>
      <c r="U289" s="21">
        <v>50</v>
      </c>
      <c r="V289" s="21">
        <v>90</v>
      </c>
      <c r="W289" s="21">
        <v>50</v>
      </c>
      <c r="X289" s="21">
        <v>46</v>
      </c>
      <c r="Y289" s="94">
        <v>74</v>
      </c>
      <c r="Z289" s="116">
        <v>90</v>
      </c>
      <c r="AA289" s="87">
        <v>160000000</v>
      </c>
      <c r="AB289" s="29">
        <v>1652644952</v>
      </c>
      <c r="AC289" s="29">
        <v>174571380</v>
      </c>
      <c r="AD289" s="21">
        <v>144571380</v>
      </c>
      <c r="AE289" s="29">
        <f t="shared" si="5"/>
        <v>2131787712</v>
      </c>
      <c r="AF289" s="30" t="s">
        <v>355</v>
      </c>
    </row>
    <row r="290" spans="1:32" ht="82.8" x14ac:dyDescent="0.3">
      <c r="A290" s="148"/>
      <c r="B290" s="159">
        <v>0</v>
      </c>
      <c r="C290" s="148"/>
      <c r="D290" s="160">
        <v>0</v>
      </c>
      <c r="E290" s="75">
        <v>6.0569999999999995</v>
      </c>
      <c r="F290" s="75">
        <v>4.415</v>
      </c>
      <c r="G290" s="74">
        <v>4.5120000000000005</v>
      </c>
      <c r="H290" s="75">
        <v>4.6109999999999998</v>
      </c>
      <c r="I290" s="75">
        <v>4.899</v>
      </c>
      <c r="J290" s="73">
        <v>52050020009</v>
      </c>
      <c r="K290" s="30" t="s">
        <v>1736</v>
      </c>
      <c r="L290" s="30" t="s">
        <v>1737</v>
      </c>
      <c r="M290" s="22" t="s">
        <v>107</v>
      </c>
      <c r="N290" s="22" t="s">
        <v>373</v>
      </c>
      <c r="O290" s="73" t="s">
        <v>381</v>
      </c>
      <c r="P290" s="22" t="s">
        <v>797</v>
      </c>
      <c r="Q290" s="22" t="s">
        <v>373</v>
      </c>
      <c r="R290" s="22">
        <v>8</v>
      </c>
      <c r="S290" s="21">
        <v>33</v>
      </c>
      <c r="T290" s="22">
        <v>5</v>
      </c>
      <c r="U290" s="21">
        <v>0</v>
      </c>
      <c r="V290" s="21">
        <v>120</v>
      </c>
      <c r="W290" s="21">
        <v>31</v>
      </c>
      <c r="X290" s="21">
        <v>61</v>
      </c>
      <c r="Y290" s="94">
        <v>83</v>
      </c>
      <c r="Z290" s="116">
        <v>120</v>
      </c>
      <c r="AA290" s="87">
        <v>381823642</v>
      </c>
      <c r="AB290" s="29">
        <v>377009095</v>
      </c>
      <c r="AC290" s="29">
        <v>843949900</v>
      </c>
      <c r="AD290" s="29">
        <v>830000000</v>
      </c>
      <c r="AE290" s="29">
        <f t="shared" si="5"/>
        <v>2432782637</v>
      </c>
      <c r="AF290" s="30" t="s">
        <v>355</v>
      </c>
    </row>
    <row r="291" spans="1:32" ht="82.8" x14ac:dyDescent="0.3">
      <c r="A291" s="148"/>
      <c r="B291" s="159">
        <v>0</v>
      </c>
      <c r="C291" s="148"/>
      <c r="D291" s="160">
        <v>0</v>
      </c>
      <c r="E291" s="75">
        <v>5.9319999999999995</v>
      </c>
      <c r="F291" s="75">
        <v>5.7570000000000006</v>
      </c>
      <c r="G291" s="74">
        <v>5.9089999999999998</v>
      </c>
      <c r="H291" s="75">
        <v>6.0620000000000003</v>
      </c>
      <c r="I291" s="75">
        <v>5.915</v>
      </c>
      <c r="J291" s="73">
        <v>52050020010</v>
      </c>
      <c r="K291" s="30" t="s">
        <v>1738</v>
      </c>
      <c r="L291" s="30" t="s">
        <v>1739</v>
      </c>
      <c r="M291" s="22" t="s">
        <v>144</v>
      </c>
      <c r="N291" s="22" t="s">
        <v>373</v>
      </c>
      <c r="O291" s="73" t="s">
        <v>381</v>
      </c>
      <c r="P291" s="22" t="s">
        <v>798</v>
      </c>
      <c r="Q291" s="22" t="s">
        <v>373</v>
      </c>
      <c r="R291" s="22">
        <v>8</v>
      </c>
      <c r="S291" s="21">
        <v>33</v>
      </c>
      <c r="T291" s="22">
        <v>5</v>
      </c>
      <c r="U291" s="21">
        <v>5</v>
      </c>
      <c r="V291" s="21">
        <v>5</v>
      </c>
      <c r="W291" s="21">
        <v>1</v>
      </c>
      <c r="X291" s="21">
        <v>5</v>
      </c>
      <c r="Y291" s="94">
        <v>5</v>
      </c>
      <c r="Z291" s="116">
        <v>5</v>
      </c>
      <c r="AA291" s="87">
        <v>172935000</v>
      </c>
      <c r="AB291" s="29">
        <v>846574136</v>
      </c>
      <c r="AC291" s="29">
        <v>1418455871</v>
      </c>
      <c r="AD291" s="29">
        <v>1118455871</v>
      </c>
      <c r="AE291" s="29">
        <f t="shared" si="5"/>
        <v>3556420878</v>
      </c>
      <c r="AF291" s="30" t="s">
        <v>355</v>
      </c>
    </row>
    <row r="292" spans="1:32" ht="41.4" x14ac:dyDescent="0.3">
      <c r="A292" s="148"/>
      <c r="B292" s="159">
        <v>0</v>
      </c>
      <c r="C292" s="148"/>
      <c r="D292" s="160">
        <v>0</v>
      </c>
      <c r="E292" s="75">
        <v>0</v>
      </c>
      <c r="F292" s="75">
        <v>4.1150000000000002</v>
      </c>
      <c r="G292" s="74">
        <v>6.3369999999999997</v>
      </c>
      <c r="H292" s="75">
        <f>5.376+1</f>
        <v>6.3760000000000003</v>
      </c>
      <c r="I292" s="75">
        <v>3.9570000000000003</v>
      </c>
      <c r="J292" s="73">
        <v>52050020011</v>
      </c>
      <c r="K292" s="30" t="s">
        <v>1740</v>
      </c>
      <c r="L292" s="30" t="s">
        <v>1741</v>
      </c>
      <c r="M292" s="22" t="s">
        <v>107</v>
      </c>
      <c r="N292" s="22" t="s">
        <v>373</v>
      </c>
      <c r="O292" s="73" t="s">
        <v>381</v>
      </c>
      <c r="P292" s="22" t="s">
        <v>799</v>
      </c>
      <c r="Q292" s="22" t="s">
        <v>373</v>
      </c>
      <c r="R292" s="22">
        <v>8</v>
      </c>
      <c r="S292" s="21">
        <v>33</v>
      </c>
      <c r="T292" s="22">
        <v>5</v>
      </c>
      <c r="U292" s="21">
        <v>0</v>
      </c>
      <c r="V292" s="21">
        <v>30</v>
      </c>
      <c r="W292" s="21">
        <v>0</v>
      </c>
      <c r="X292" s="21">
        <v>8</v>
      </c>
      <c r="Y292" s="94">
        <v>26</v>
      </c>
      <c r="Z292" s="116">
        <v>30</v>
      </c>
      <c r="AA292" s="87">
        <v>0</v>
      </c>
      <c r="AB292" s="29">
        <v>980000000</v>
      </c>
      <c r="AC292" s="29">
        <v>1239886780</v>
      </c>
      <c r="AD292" s="29">
        <v>1239886780</v>
      </c>
      <c r="AE292" s="29">
        <f t="shared" si="5"/>
        <v>3459773560</v>
      </c>
      <c r="AF292" s="30" t="s">
        <v>355</v>
      </c>
    </row>
    <row r="293" spans="1:32" ht="69" x14ac:dyDescent="0.3">
      <c r="A293" s="148"/>
      <c r="B293" s="159">
        <v>0</v>
      </c>
      <c r="C293" s="148"/>
      <c r="D293" s="160">
        <v>0</v>
      </c>
      <c r="E293" s="75">
        <v>12.475999999999999</v>
      </c>
      <c r="F293" s="75">
        <f>8.45+3-1.5</f>
        <v>9.9499999999999993</v>
      </c>
      <c r="G293" s="74">
        <v>8.8079999999999998</v>
      </c>
      <c r="H293" s="75">
        <f>8.113+1.094</f>
        <v>9.206999999999999</v>
      </c>
      <c r="I293" s="75">
        <v>9.4619999999999997</v>
      </c>
      <c r="J293" s="73">
        <v>52050020012</v>
      </c>
      <c r="K293" s="30" t="s">
        <v>1742</v>
      </c>
      <c r="L293" s="30" t="s">
        <v>1743</v>
      </c>
      <c r="M293" s="22" t="s">
        <v>107</v>
      </c>
      <c r="N293" s="22" t="s">
        <v>373</v>
      </c>
      <c r="O293" s="73" t="s">
        <v>381</v>
      </c>
      <c r="P293" s="22" t="s">
        <v>800</v>
      </c>
      <c r="Q293" s="22" t="s">
        <v>373</v>
      </c>
      <c r="R293" s="22">
        <v>8</v>
      </c>
      <c r="S293" s="21">
        <v>33</v>
      </c>
      <c r="T293" s="22">
        <v>5</v>
      </c>
      <c r="U293" s="21">
        <v>3000</v>
      </c>
      <c r="V293" s="21">
        <v>3200</v>
      </c>
      <c r="W293" s="21">
        <v>1300</v>
      </c>
      <c r="X293" s="21">
        <v>2100</v>
      </c>
      <c r="Y293" s="94">
        <v>2650</v>
      </c>
      <c r="Z293" s="21">
        <v>3200</v>
      </c>
      <c r="AA293" s="87">
        <v>3058542546</v>
      </c>
      <c r="AB293" s="29">
        <v>3032597500</v>
      </c>
      <c r="AC293" s="29">
        <v>3074068500</v>
      </c>
      <c r="AD293" s="29">
        <v>3126603103</v>
      </c>
      <c r="AE293" s="29">
        <f t="shared" si="5"/>
        <v>12291811649</v>
      </c>
      <c r="AF293" s="30" t="s">
        <v>355</v>
      </c>
    </row>
    <row r="294" spans="1:32" ht="55.2" x14ac:dyDescent="0.3">
      <c r="A294" s="148"/>
      <c r="B294" s="159">
        <v>0</v>
      </c>
      <c r="C294" s="148"/>
      <c r="D294" s="160">
        <v>0</v>
      </c>
      <c r="E294" s="75">
        <v>5.8479999999999999</v>
      </c>
      <c r="F294" s="75">
        <v>4.3419999999999996</v>
      </c>
      <c r="G294" s="74">
        <v>4.952</v>
      </c>
      <c r="H294" s="75">
        <v>4.9689999999999994</v>
      </c>
      <c r="I294" s="75">
        <v>5.0279999999999996</v>
      </c>
      <c r="J294" s="73">
        <v>52050020013</v>
      </c>
      <c r="K294" s="30" t="s">
        <v>1744</v>
      </c>
      <c r="L294" s="30" t="s">
        <v>1745</v>
      </c>
      <c r="M294" s="22" t="s">
        <v>107</v>
      </c>
      <c r="N294" s="22" t="s">
        <v>373</v>
      </c>
      <c r="O294" s="73" t="s">
        <v>381</v>
      </c>
      <c r="P294" s="22" t="s">
        <v>801</v>
      </c>
      <c r="Q294" s="22" t="s">
        <v>373</v>
      </c>
      <c r="R294" s="22">
        <v>8</v>
      </c>
      <c r="S294" s="21">
        <v>33</v>
      </c>
      <c r="T294" s="22">
        <v>5</v>
      </c>
      <c r="U294" s="21">
        <v>0</v>
      </c>
      <c r="V294" s="21">
        <v>485</v>
      </c>
      <c r="W294" s="21">
        <v>50</v>
      </c>
      <c r="X294" s="21">
        <v>105</v>
      </c>
      <c r="Y294" s="94">
        <v>211</v>
      </c>
      <c r="Z294" s="116">
        <v>485</v>
      </c>
      <c r="AA294" s="87">
        <v>157500000</v>
      </c>
      <c r="AB294" s="29">
        <v>375000000</v>
      </c>
      <c r="AC294" s="29">
        <v>270465000</v>
      </c>
      <c r="AD294" s="29">
        <v>266967000</v>
      </c>
      <c r="AE294" s="29">
        <f t="shared" si="5"/>
        <v>1069932000</v>
      </c>
      <c r="AF294" s="30" t="s">
        <v>355</v>
      </c>
    </row>
    <row r="295" spans="1:32" ht="69" x14ac:dyDescent="0.3">
      <c r="A295" s="148"/>
      <c r="B295" s="159">
        <v>0</v>
      </c>
      <c r="C295" s="148"/>
      <c r="D295" s="160">
        <v>0</v>
      </c>
      <c r="E295" s="75">
        <v>0</v>
      </c>
      <c r="F295" s="75">
        <v>4.0019999999999998</v>
      </c>
      <c r="G295" s="74">
        <v>4.0120000000000005</v>
      </c>
      <c r="H295" s="75">
        <v>4.0209999999999999</v>
      </c>
      <c r="I295" s="75">
        <v>3.0089999999999999</v>
      </c>
      <c r="J295" s="73">
        <v>52050020014</v>
      </c>
      <c r="K295" s="30" t="s">
        <v>1746</v>
      </c>
      <c r="L295" s="30" t="s">
        <v>1747</v>
      </c>
      <c r="M295" s="22" t="s">
        <v>107</v>
      </c>
      <c r="N295" s="22" t="s">
        <v>373</v>
      </c>
      <c r="O295" s="73" t="s">
        <v>381</v>
      </c>
      <c r="P295" s="22" t="s">
        <v>802</v>
      </c>
      <c r="Q295" s="22" t="s">
        <v>373</v>
      </c>
      <c r="R295" s="22">
        <v>8</v>
      </c>
      <c r="S295" s="21">
        <v>33</v>
      </c>
      <c r="T295" s="22">
        <v>5</v>
      </c>
      <c r="U295" s="21">
        <v>0</v>
      </c>
      <c r="V295" s="21">
        <v>12</v>
      </c>
      <c r="W295" s="21">
        <v>0</v>
      </c>
      <c r="X295" s="21">
        <v>7</v>
      </c>
      <c r="Y295" s="94">
        <v>7</v>
      </c>
      <c r="Z295" s="116">
        <v>12</v>
      </c>
      <c r="AA295" s="87">
        <v>0</v>
      </c>
      <c r="AB295" s="29">
        <v>170280000</v>
      </c>
      <c r="AC295" s="29">
        <v>182000000</v>
      </c>
      <c r="AD295" s="29">
        <v>182000000</v>
      </c>
      <c r="AE295" s="29">
        <f t="shared" si="5"/>
        <v>534280000</v>
      </c>
      <c r="AF295" s="30" t="s">
        <v>355</v>
      </c>
    </row>
    <row r="296" spans="1:32" ht="41.4" x14ac:dyDescent="0.3">
      <c r="A296" s="148"/>
      <c r="B296" s="159">
        <v>0</v>
      </c>
      <c r="C296" s="148"/>
      <c r="D296" s="160">
        <v>0</v>
      </c>
      <c r="E296" s="75">
        <v>0</v>
      </c>
      <c r="F296" s="75">
        <f>4.073-3-1.073+1.5+1.5+1.073</f>
        <v>4.0730000000000004</v>
      </c>
      <c r="G296" s="74">
        <f>4.084-4.084+4.084+3</f>
        <v>7.0839999999999996</v>
      </c>
      <c r="H296" s="75">
        <f>4.094-2-1.094-1+2</f>
        <v>2</v>
      </c>
      <c r="I296" s="75">
        <v>3.0630000000000002</v>
      </c>
      <c r="J296" s="73">
        <v>52050020015</v>
      </c>
      <c r="K296" s="30" t="s">
        <v>1748</v>
      </c>
      <c r="L296" s="30" t="s">
        <v>1749</v>
      </c>
      <c r="M296" s="22" t="s">
        <v>803</v>
      </c>
      <c r="N296" s="22" t="s">
        <v>373</v>
      </c>
      <c r="O296" s="73" t="s">
        <v>381</v>
      </c>
      <c r="P296" s="22" t="s">
        <v>804</v>
      </c>
      <c r="Q296" s="22" t="s">
        <v>373</v>
      </c>
      <c r="R296" s="22">
        <v>8</v>
      </c>
      <c r="S296" s="21">
        <v>33</v>
      </c>
      <c r="T296" s="22">
        <v>5</v>
      </c>
      <c r="U296" s="21">
        <v>0</v>
      </c>
      <c r="V296" s="21">
        <v>3</v>
      </c>
      <c r="W296" s="21">
        <v>0</v>
      </c>
      <c r="X296" s="21">
        <v>1</v>
      </c>
      <c r="Y296" s="94">
        <v>3</v>
      </c>
      <c r="Z296" s="116">
        <v>4</v>
      </c>
      <c r="AA296" s="109">
        <v>0</v>
      </c>
      <c r="AB296" s="93">
        <v>860000000</v>
      </c>
      <c r="AC296" s="29">
        <v>1800000000</v>
      </c>
      <c r="AD296" s="29">
        <v>1000000</v>
      </c>
      <c r="AE296" s="29">
        <f t="shared" si="5"/>
        <v>2661000000</v>
      </c>
      <c r="AF296" s="30" t="s">
        <v>355</v>
      </c>
    </row>
    <row r="297" spans="1:32" ht="55.2" x14ac:dyDescent="0.3">
      <c r="A297" s="148"/>
      <c r="B297" s="159">
        <v>0</v>
      </c>
      <c r="C297" s="148"/>
      <c r="D297" s="160">
        <v>0</v>
      </c>
      <c r="E297" s="75">
        <v>0</v>
      </c>
      <c r="F297" s="75">
        <v>4</v>
      </c>
      <c r="G297" s="74">
        <v>4</v>
      </c>
      <c r="H297" s="75">
        <v>4</v>
      </c>
      <c r="I297" s="75">
        <v>4</v>
      </c>
      <c r="J297" s="73">
        <v>52050020016</v>
      </c>
      <c r="K297" s="30" t="s">
        <v>173</v>
      </c>
      <c r="L297" s="30" t="s">
        <v>1750</v>
      </c>
      <c r="M297" s="22" t="s">
        <v>175</v>
      </c>
      <c r="N297" s="22" t="s">
        <v>373</v>
      </c>
      <c r="O297" s="73" t="s">
        <v>381</v>
      </c>
      <c r="P297" s="22" t="s">
        <v>805</v>
      </c>
      <c r="Q297" s="22" t="s">
        <v>373</v>
      </c>
      <c r="R297" s="22">
        <v>8</v>
      </c>
      <c r="S297" s="21">
        <v>33</v>
      </c>
      <c r="T297" s="22">
        <v>5</v>
      </c>
      <c r="U297" s="21">
        <v>0</v>
      </c>
      <c r="V297" s="21">
        <v>1</v>
      </c>
      <c r="W297" s="21">
        <v>0</v>
      </c>
      <c r="X297" s="21">
        <v>1</v>
      </c>
      <c r="Y297" s="94">
        <v>0.625</v>
      </c>
      <c r="Z297" s="123">
        <v>1</v>
      </c>
      <c r="AA297" s="110">
        <v>0</v>
      </c>
      <c r="AB297" s="29">
        <v>100000000</v>
      </c>
      <c r="AC297" s="29">
        <v>400000000</v>
      </c>
      <c r="AD297" s="29">
        <v>373500000</v>
      </c>
      <c r="AE297" s="29">
        <f t="shared" si="5"/>
        <v>873500000</v>
      </c>
      <c r="AF297" s="30" t="s">
        <v>1143</v>
      </c>
    </row>
    <row r="298" spans="1:32" ht="41.4" x14ac:dyDescent="0.3">
      <c r="A298" s="148"/>
      <c r="B298" s="159">
        <v>0</v>
      </c>
      <c r="C298" s="148"/>
      <c r="D298" s="160">
        <v>0</v>
      </c>
      <c r="E298" s="75">
        <v>0</v>
      </c>
      <c r="F298" s="75">
        <v>4</v>
      </c>
      <c r="G298" s="74">
        <v>4</v>
      </c>
      <c r="H298" s="75">
        <f>4-1</f>
        <v>3</v>
      </c>
      <c r="I298" s="75">
        <v>4</v>
      </c>
      <c r="J298" s="73">
        <v>52050020017</v>
      </c>
      <c r="K298" s="30" t="s">
        <v>173</v>
      </c>
      <c r="L298" s="30" t="s">
        <v>1751</v>
      </c>
      <c r="M298" s="22" t="s">
        <v>175</v>
      </c>
      <c r="N298" s="22" t="s">
        <v>373</v>
      </c>
      <c r="O298" s="73" t="s">
        <v>381</v>
      </c>
      <c r="P298" s="22" t="s">
        <v>806</v>
      </c>
      <c r="Q298" s="22" t="s">
        <v>373</v>
      </c>
      <c r="R298" s="22">
        <v>8</v>
      </c>
      <c r="S298" s="21">
        <v>33</v>
      </c>
      <c r="T298" s="22">
        <v>5</v>
      </c>
      <c r="U298" s="21">
        <v>0</v>
      </c>
      <c r="V298" s="21">
        <v>1</v>
      </c>
      <c r="W298" s="21">
        <v>0</v>
      </c>
      <c r="X298" s="21">
        <v>1</v>
      </c>
      <c r="Y298" s="94">
        <v>0.65</v>
      </c>
      <c r="Z298" s="123">
        <v>1</v>
      </c>
      <c r="AA298" s="111">
        <v>0</v>
      </c>
      <c r="AB298" s="9">
        <v>100000000</v>
      </c>
      <c r="AC298" s="9">
        <v>171500000</v>
      </c>
      <c r="AD298" s="9">
        <v>120937000</v>
      </c>
      <c r="AE298" s="29">
        <f t="shared" si="5"/>
        <v>392437000</v>
      </c>
      <c r="AF298" s="30" t="s">
        <v>1143</v>
      </c>
    </row>
    <row r="299" spans="1:32" x14ac:dyDescent="0.3">
      <c r="X299" s="55"/>
      <c r="Y299" s="55"/>
      <c r="Z299" s="55"/>
      <c r="AB299" s="54"/>
      <c r="AC299" s="54"/>
      <c r="AD299" s="54"/>
    </row>
    <row r="300" spans="1:32" x14ac:dyDescent="0.3">
      <c r="X300" s="55"/>
      <c r="Y300" s="55"/>
      <c r="Z300" s="55"/>
      <c r="AB300" s="54"/>
      <c r="AC300" s="54"/>
      <c r="AD300" s="54"/>
    </row>
    <row r="301" spans="1:32" x14ac:dyDescent="0.3">
      <c r="X301" s="55"/>
      <c r="Y301" s="55"/>
      <c r="Z301" s="55"/>
      <c r="AB301" s="47"/>
      <c r="AC301" s="47"/>
      <c r="AD301" s="54"/>
    </row>
    <row r="302" spans="1:32" x14ac:dyDescent="0.3">
      <c r="X302" s="55"/>
      <c r="Y302" s="55"/>
      <c r="Z302" s="55"/>
      <c r="AB302" s="47"/>
      <c r="AC302" s="47"/>
      <c r="AD302" s="47"/>
    </row>
    <row r="303" spans="1:32" x14ac:dyDescent="0.3">
      <c r="Y303" s="55"/>
      <c r="Z303" s="55"/>
      <c r="AD303" s="54"/>
    </row>
    <row r="304" spans="1:32" x14ac:dyDescent="0.3">
      <c r="Y304" s="55"/>
      <c r="Z304" s="55"/>
      <c r="AD304" s="54"/>
    </row>
    <row r="305" spans="25:30" x14ac:dyDescent="0.3">
      <c r="Y305" s="55"/>
      <c r="Z305" s="55"/>
      <c r="AD305" s="54"/>
    </row>
    <row r="306" spans="25:30" x14ac:dyDescent="0.3">
      <c r="Y306" s="55"/>
      <c r="Z306" s="55"/>
      <c r="AD306" s="47"/>
    </row>
    <row r="307" spans="25:30" x14ac:dyDescent="0.3">
      <c r="AD307" s="54"/>
    </row>
    <row r="308" spans="25:30" x14ac:dyDescent="0.3">
      <c r="AD308" s="54"/>
    </row>
    <row r="309" spans="25:30" x14ac:dyDescent="0.3">
      <c r="AD309" s="54"/>
    </row>
    <row r="310" spans="25:30" x14ac:dyDescent="0.3">
      <c r="AD310" s="47"/>
    </row>
    <row r="311" spans="25:30" x14ac:dyDescent="0.3">
      <c r="AD311" s="54"/>
    </row>
    <row r="312" spans="25:30" x14ac:dyDescent="0.3">
      <c r="AD312" s="54"/>
    </row>
    <row r="313" spans="25:30" x14ac:dyDescent="0.3">
      <c r="AD313" s="54"/>
    </row>
    <row r="314" spans="25:30" x14ac:dyDescent="0.3">
      <c r="AD314" s="47"/>
    </row>
    <row r="315" spans="25:30" x14ac:dyDescent="0.3">
      <c r="AD315" s="54"/>
    </row>
    <row r="316" spans="25:30" x14ac:dyDescent="0.3">
      <c r="AD316" s="54"/>
    </row>
    <row r="317" spans="25:30" x14ac:dyDescent="0.3">
      <c r="AD317" s="47"/>
    </row>
    <row r="318" spans="25:30" x14ac:dyDescent="0.3">
      <c r="AD318" s="47"/>
    </row>
  </sheetData>
  <mergeCells count="98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70"/>
    <mergeCell ref="B8:B70"/>
    <mergeCell ref="C8:C23"/>
    <mergeCell ref="D8:D23"/>
    <mergeCell ref="C24:C33"/>
    <mergeCell ref="D24:D33"/>
    <mergeCell ref="C34:C41"/>
    <mergeCell ref="D34:D41"/>
    <mergeCell ref="C42:C49"/>
    <mergeCell ref="C118:C125"/>
    <mergeCell ref="D118:D125"/>
    <mergeCell ref="D42:D49"/>
    <mergeCell ref="C50:C70"/>
    <mergeCell ref="D50:D70"/>
    <mergeCell ref="C72:C82"/>
    <mergeCell ref="D72:D82"/>
    <mergeCell ref="C83:C92"/>
    <mergeCell ref="D83:D92"/>
    <mergeCell ref="C93:C100"/>
    <mergeCell ref="D93:D100"/>
    <mergeCell ref="C101:C110"/>
    <mergeCell ref="D101:D110"/>
    <mergeCell ref="C111:C117"/>
    <mergeCell ref="D111:D117"/>
    <mergeCell ref="C134:C137"/>
    <mergeCell ref="D134:D137"/>
    <mergeCell ref="C138:C142"/>
    <mergeCell ref="D138:D142"/>
    <mergeCell ref="C143:C148"/>
    <mergeCell ref="D143:D148"/>
    <mergeCell ref="C149:C154"/>
    <mergeCell ref="D149:D154"/>
    <mergeCell ref="A156:A246"/>
    <mergeCell ref="B156:B246"/>
    <mergeCell ref="C156:C172"/>
    <mergeCell ref="D156:D172"/>
    <mergeCell ref="C173:C178"/>
    <mergeCell ref="D173:D178"/>
    <mergeCell ref="C179:C184"/>
    <mergeCell ref="D179:D184"/>
    <mergeCell ref="A72:A154"/>
    <mergeCell ref="B72:B154"/>
    <mergeCell ref="C126:C133"/>
    <mergeCell ref="D126:D133"/>
    <mergeCell ref="C185:C189"/>
    <mergeCell ref="D185:D189"/>
    <mergeCell ref="C190:C199"/>
    <mergeCell ref="D190:D199"/>
    <mergeCell ref="C200:C204"/>
    <mergeCell ref="D200:D204"/>
    <mergeCell ref="C205:C216"/>
    <mergeCell ref="D205:D216"/>
    <mergeCell ref="C217:C228"/>
    <mergeCell ref="D217:D228"/>
    <mergeCell ref="C229:C238"/>
    <mergeCell ref="D229:D238"/>
    <mergeCell ref="C239:C246"/>
    <mergeCell ref="D239:D246"/>
    <mergeCell ref="A248:A270"/>
    <mergeCell ref="B248:B270"/>
    <mergeCell ref="C248:C253"/>
    <mergeCell ref="D248:D253"/>
    <mergeCell ref="C254:C256"/>
    <mergeCell ref="D254:D256"/>
    <mergeCell ref="C257:C259"/>
    <mergeCell ref="D257:D259"/>
    <mergeCell ref="C260:C263"/>
    <mergeCell ref="D260:D263"/>
    <mergeCell ref="C264:C270"/>
    <mergeCell ref="D264:D270"/>
    <mergeCell ref="A272:A298"/>
    <mergeCell ref="B272:B298"/>
    <mergeCell ref="C272:C281"/>
    <mergeCell ref="D272:D281"/>
    <mergeCell ref="C282:C298"/>
    <mergeCell ref="D282:D298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91"/>
  <sheetViews>
    <sheetView showGridLines="0" zoomScale="90" zoomScaleNormal="90" zoomScaleSheetLayoutView="40" workbookViewId="0">
      <selection activeCell="A2" sqref="A2"/>
    </sheetView>
  </sheetViews>
  <sheetFormatPr baseColWidth="10" defaultColWidth="11.44140625" defaultRowHeight="13.8" x14ac:dyDescent="0.3"/>
  <cols>
    <col min="1" max="1" width="11.6640625" style="4" customWidth="1"/>
    <col min="2" max="2" width="10.88671875" style="4" customWidth="1"/>
    <col min="3" max="3" width="9.6640625" style="4" customWidth="1"/>
    <col min="4" max="4" width="10.44140625" style="4" customWidth="1"/>
    <col min="5" max="5" width="8.109375" style="4" customWidth="1"/>
    <col min="6" max="8" width="7.6640625" style="4" customWidth="1"/>
    <col min="9" max="9" width="8.6640625" style="4" customWidth="1"/>
    <col min="10" max="10" width="12.88671875" style="4" customWidth="1"/>
    <col min="11" max="11" width="25.6640625" style="5" customWidth="1"/>
    <col min="12" max="12" width="28.88671875" style="6" customWidth="1"/>
    <col min="13" max="13" width="10.5546875" style="6" customWidth="1"/>
    <col min="14" max="15" width="10.33203125" style="6" customWidth="1"/>
    <col min="16" max="16" width="20.6640625" style="6" customWidth="1"/>
    <col min="17" max="20" width="9.33203125" style="1" customWidth="1"/>
    <col min="21" max="21" width="7.6640625" style="7" customWidth="1"/>
    <col min="22" max="22" width="8.44140625" style="7" customWidth="1"/>
    <col min="23" max="25" width="7.6640625" style="1" customWidth="1"/>
    <col min="26" max="26" width="7.5546875" style="1" customWidth="1"/>
    <col min="27" max="27" width="12.5546875" style="1" customWidth="1"/>
    <col min="28" max="28" width="14.44140625" style="1" customWidth="1"/>
    <col min="29" max="30" width="12.44140625" style="1" customWidth="1"/>
    <col min="31" max="31" width="13.88671875" style="1" customWidth="1"/>
    <col min="32" max="32" width="25.6640625" style="1" customWidth="1"/>
    <col min="33" max="16384" width="11.44140625" style="1"/>
  </cols>
  <sheetData>
    <row r="1" spans="1:32" ht="100.05" customHeigh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3" spans="1:32" ht="15.75" customHeight="1" x14ac:dyDescent="0.3">
      <c r="A3" s="15" t="s">
        <v>64</v>
      </c>
      <c r="B3" s="16">
        <v>53</v>
      </c>
      <c r="C3" s="15" t="s">
        <v>1801</v>
      </c>
      <c r="E3" s="10"/>
      <c r="F3" s="10"/>
      <c r="G3" s="10"/>
      <c r="H3" s="10"/>
      <c r="I3" s="10"/>
      <c r="J3" s="11"/>
    </row>
    <row r="4" spans="1:32" ht="15.75" customHeight="1" x14ac:dyDescent="0.3">
      <c r="A4" s="72" t="s">
        <v>2452</v>
      </c>
      <c r="B4" s="11"/>
      <c r="C4" s="79">
        <v>25.065999999999999</v>
      </c>
      <c r="D4" s="72"/>
      <c r="E4" s="72"/>
      <c r="F4" s="72"/>
      <c r="G4" s="72"/>
      <c r="H4" s="72"/>
      <c r="I4" s="72"/>
      <c r="J4" s="11"/>
    </row>
    <row r="6" spans="1:32" s="2" customFormat="1" ht="24" customHeight="1" x14ac:dyDescent="0.3">
      <c r="A6" s="151" t="s">
        <v>65</v>
      </c>
      <c r="B6" s="154" t="s">
        <v>100</v>
      </c>
      <c r="C6" s="151" t="s">
        <v>0</v>
      </c>
      <c r="D6" s="154" t="s">
        <v>9</v>
      </c>
      <c r="E6" s="158" t="s">
        <v>52</v>
      </c>
      <c r="F6" s="158"/>
      <c r="G6" s="158"/>
      <c r="H6" s="158"/>
      <c r="I6" s="158"/>
      <c r="J6" s="151" t="s">
        <v>3</v>
      </c>
      <c r="K6" s="151" t="s">
        <v>6</v>
      </c>
      <c r="L6" s="151" t="s">
        <v>7</v>
      </c>
      <c r="M6" s="151" t="s">
        <v>61</v>
      </c>
      <c r="N6" s="151" t="s">
        <v>1</v>
      </c>
      <c r="O6" s="151" t="s">
        <v>8</v>
      </c>
      <c r="P6" s="151" t="s">
        <v>2</v>
      </c>
      <c r="Q6" s="151" t="s">
        <v>1</v>
      </c>
      <c r="R6" s="154" t="s">
        <v>67</v>
      </c>
      <c r="S6" s="154" t="s">
        <v>66</v>
      </c>
      <c r="T6" s="154" t="s">
        <v>60</v>
      </c>
      <c r="U6" s="151" t="s">
        <v>101</v>
      </c>
      <c r="V6" s="151" t="s">
        <v>12</v>
      </c>
      <c r="W6" s="153" t="s">
        <v>10</v>
      </c>
      <c r="X6" s="153"/>
      <c r="Y6" s="153"/>
      <c r="Z6" s="153"/>
      <c r="AA6" s="153" t="s">
        <v>11</v>
      </c>
      <c r="AB6" s="153"/>
      <c r="AC6" s="153"/>
      <c r="AD6" s="153"/>
      <c r="AE6" s="153"/>
      <c r="AF6" s="151" t="s">
        <v>4</v>
      </c>
    </row>
    <row r="7" spans="1:32" s="2" customFormat="1" ht="26.25" customHeight="1" x14ac:dyDescent="0.3">
      <c r="A7" s="152"/>
      <c r="B7" s="155"/>
      <c r="C7" s="152"/>
      <c r="D7" s="155"/>
      <c r="E7" s="18">
        <v>2020</v>
      </c>
      <c r="F7" s="18">
        <v>2021</v>
      </c>
      <c r="G7" s="18">
        <v>2022</v>
      </c>
      <c r="H7" s="18">
        <v>2023</v>
      </c>
      <c r="I7" s="18" t="s">
        <v>68</v>
      </c>
      <c r="J7" s="152"/>
      <c r="K7" s="152"/>
      <c r="L7" s="152"/>
      <c r="M7" s="152"/>
      <c r="N7" s="152"/>
      <c r="O7" s="152"/>
      <c r="P7" s="152"/>
      <c r="Q7" s="152"/>
      <c r="R7" s="155"/>
      <c r="S7" s="155"/>
      <c r="T7" s="155"/>
      <c r="U7" s="152"/>
      <c r="V7" s="152"/>
      <c r="W7" s="70" t="s">
        <v>69</v>
      </c>
      <c r="X7" s="70" t="s">
        <v>70</v>
      </c>
      <c r="Y7" s="70" t="s">
        <v>71</v>
      </c>
      <c r="Z7" s="70" t="s">
        <v>72</v>
      </c>
      <c r="AA7" s="70" t="s">
        <v>73</v>
      </c>
      <c r="AB7" s="70" t="s">
        <v>74</v>
      </c>
      <c r="AC7" s="70" t="s">
        <v>75</v>
      </c>
      <c r="AD7" s="70" t="s">
        <v>76</v>
      </c>
      <c r="AE7" s="70" t="s">
        <v>77</v>
      </c>
      <c r="AF7" s="152"/>
    </row>
    <row r="8" spans="1:32" ht="51" customHeight="1" x14ac:dyDescent="0.3">
      <c r="A8" s="166" t="s">
        <v>1802</v>
      </c>
      <c r="B8" s="167">
        <v>15.742000000000001</v>
      </c>
      <c r="C8" s="166" t="s">
        <v>1803</v>
      </c>
      <c r="D8" s="168">
        <v>36.179000000000002</v>
      </c>
      <c r="E8" s="57">
        <v>12.447999999999999</v>
      </c>
      <c r="F8" s="57">
        <v>7.7619999999999996</v>
      </c>
      <c r="G8" s="57">
        <v>7.9960000000000004</v>
      </c>
      <c r="H8" s="57">
        <v>8.984</v>
      </c>
      <c r="I8" s="57">
        <v>9.2970000000000006</v>
      </c>
      <c r="J8" s="62">
        <v>53010010001</v>
      </c>
      <c r="K8" s="82" t="s">
        <v>1804</v>
      </c>
      <c r="L8" s="82" t="s">
        <v>1805</v>
      </c>
      <c r="M8" s="83" t="s">
        <v>107</v>
      </c>
      <c r="N8" s="83" t="s">
        <v>376</v>
      </c>
      <c r="O8" s="73" t="s">
        <v>414</v>
      </c>
      <c r="P8" s="22" t="s">
        <v>807</v>
      </c>
      <c r="Q8" s="22" t="s">
        <v>373</v>
      </c>
      <c r="R8" s="22">
        <v>6</v>
      </c>
      <c r="S8" s="21">
        <v>32</v>
      </c>
      <c r="T8" s="22">
        <v>3</v>
      </c>
      <c r="U8" s="21">
        <v>60</v>
      </c>
      <c r="V8" s="21">
        <v>180</v>
      </c>
      <c r="W8" s="21">
        <v>70</v>
      </c>
      <c r="X8" s="21">
        <v>90</v>
      </c>
      <c r="Y8" s="94">
        <v>135</v>
      </c>
      <c r="Z8" s="135">
        <v>180</v>
      </c>
      <c r="AA8" s="87">
        <v>80400000</v>
      </c>
      <c r="AB8" s="29">
        <v>370021600</v>
      </c>
      <c r="AC8" s="29">
        <v>408494464</v>
      </c>
      <c r="AD8" s="29">
        <v>606275751</v>
      </c>
      <c r="AE8" s="29">
        <f t="shared" ref="AE8:AE37" si="0">SUM(AA8:AD8)</f>
        <v>1465191815</v>
      </c>
      <c r="AF8" s="82" t="s">
        <v>365</v>
      </c>
    </row>
    <row r="9" spans="1:32" ht="96.6" x14ac:dyDescent="0.3">
      <c r="A9" s="148"/>
      <c r="B9" s="159">
        <v>0</v>
      </c>
      <c r="C9" s="148"/>
      <c r="D9" s="160">
        <v>0</v>
      </c>
      <c r="E9" s="75">
        <v>27.493000000000002</v>
      </c>
      <c r="F9" s="75">
        <f>25.524-7.5</f>
        <v>18.024000000000001</v>
      </c>
      <c r="G9" s="75">
        <v>25.385999999999996</v>
      </c>
      <c r="H9" s="75">
        <f>13.028+2</f>
        <v>15.028</v>
      </c>
      <c r="I9" s="75">
        <v>22.856999999999999</v>
      </c>
      <c r="J9" s="73">
        <v>53010010002</v>
      </c>
      <c r="K9" s="30" t="s">
        <v>1806</v>
      </c>
      <c r="L9" s="30" t="s">
        <v>1807</v>
      </c>
      <c r="M9" s="22" t="s">
        <v>107</v>
      </c>
      <c r="N9" s="22" t="s">
        <v>376</v>
      </c>
      <c r="O9" s="73" t="s">
        <v>808</v>
      </c>
      <c r="P9" s="22" t="s">
        <v>809</v>
      </c>
      <c r="Q9" s="22" t="s">
        <v>376</v>
      </c>
      <c r="R9" s="22">
        <v>6</v>
      </c>
      <c r="S9" s="21">
        <v>32</v>
      </c>
      <c r="T9" s="22">
        <v>10</v>
      </c>
      <c r="U9" s="21">
        <v>8050</v>
      </c>
      <c r="V9" s="21">
        <v>9900</v>
      </c>
      <c r="W9" s="21">
        <v>1839</v>
      </c>
      <c r="X9" s="21">
        <v>8700</v>
      </c>
      <c r="Y9" s="94">
        <v>9400</v>
      </c>
      <c r="Z9" s="116">
        <v>9900</v>
      </c>
      <c r="AA9" s="111">
        <v>6017565759</v>
      </c>
      <c r="AB9" s="21">
        <v>7014380406</v>
      </c>
      <c r="AC9" s="21">
        <v>8118777308</v>
      </c>
      <c r="AD9" s="21">
        <v>7446649744</v>
      </c>
      <c r="AE9" s="29">
        <f t="shared" si="0"/>
        <v>28597373217</v>
      </c>
      <c r="AF9" s="30" t="s">
        <v>368</v>
      </c>
    </row>
    <row r="10" spans="1:32" ht="55.2" x14ac:dyDescent="0.3">
      <c r="A10" s="148"/>
      <c r="B10" s="159">
        <v>0</v>
      </c>
      <c r="C10" s="148"/>
      <c r="D10" s="160">
        <v>0</v>
      </c>
      <c r="E10" s="75">
        <v>15.185</v>
      </c>
      <c r="F10" s="75">
        <v>9.7590000000000003</v>
      </c>
      <c r="G10" s="75">
        <v>9.766</v>
      </c>
      <c r="H10" s="75">
        <v>10.861000000000001</v>
      </c>
      <c r="I10" s="75">
        <v>11.393000000000001</v>
      </c>
      <c r="J10" s="73">
        <v>53010010003</v>
      </c>
      <c r="K10" s="30" t="s">
        <v>1808</v>
      </c>
      <c r="L10" s="30" t="s">
        <v>1809</v>
      </c>
      <c r="M10" s="22" t="s">
        <v>107</v>
      </c>
      <c r="N10" s="22" t="s">
        <v>373</v>
      </c>
      <c r="O10" s="73" t="s">
        <v>381</v>
      </c>
      <c r="P10" s="22" t="s">
        <v>810</v>
      </c>
      <c r="Q10" s="22" t="s">
        <v>373</v>
      </c>
      <c r="R10" s="22">
        <v>15</v>
      </c>
      <c r="S10" s="21">
        <v>32</v>
      </c>
      <c r="T10" s="22">
        <v>10</v>
      </c>
      <c r="U10" s="21">
        <v>11</v>
      </c>
      <c r="V10" s="21">
        <v>19</v>
      </c>
      <c r="W10" s="21">
        <v>11</v>
      </c>
      <c r="X10" s="21">
        <v>13</v>
      </c>
      <c r="Y10" s="94">
        <v>15</v>
      </c>
      <c r="Z10" s="116">
        <v>19</v>
      </c>
      <c r="AA10" s="111">
        <v>2009516065</v>
      </c>
      <c r="AB10" s="21">
        <v>973063828</v>
      </c>
      <c r="AC10" s="21">
        <v>980000000</v>
      </c>
      <c r="AD10" s="21">
        <v>1078605510</v>
      </c>
      <c r="AE10" s="29">
        <f t="shared" si="0"/>
        <v>5041185403</v>
      </c>
      <c r="AF10" s="30" t="s">
        <v>368</v>
      </c>
    </row>
    <row r="11" spans="1:32" ht="207" x14ac:dyDescent="0.3">
      <c r="A11" s="148"/>
      <c r="B11" s="159">
        <v>0</v>
      </c>
      <c r="C11" s="148"/>
      <c r="D11" s="160">
        <v>0</v>
      </c>
      <c r="E11" s="75">
        <v>28.788999999999998</v>
      </c>
      <c r="F11" s="75">
        <f>20.944-7</f>
        <v>13.943999999999999</v>
      </c>
      <c r="G11" s="75">
        <v>20.869</v>
      </c>
      <c r="H11" s="75">
        <v>12.445</v>
      </c>
      <c r="I11" s="75">
        <v>20.762</v>
      </c>
      <c r="J11" s="73">
        <v>53010010004</v>
      </c>
      <c r="K11" s="30" t="s">
        <v>1810</v>
      </c>
      <c r="L11" s="30" t="s">
        <v>1811</v>
      </c>
      <c r="M11" s="22" t="s">
        <v>107</v>
      </c>
      <c r="N11" s="22" t="s">
        <v>374</v>
      </c>
      <c r="O11" s="73" t="s">
        <v>400</v>
      </c>
      <c r="P11" s="22" t="s">
        <v>811</v>
      </c>
      <c r="Q11" s="22" t="s">
        <v>374</v>
      </c>
      <c r="R11" s="22">
        <v>15</v>
      </c>
      <c r="S11" s="21">
        <v>32</v>
      </c>
      <c r="T11" s="22">
        <v>10</v>
      </c>
      <c r="U11" s="21">
        <v>15</v>
      </c>
      <c r="V11" s="21">
        <v>75</v>
      </c>
      <c r="W11" s="21">
        <v>20</v>
      </c>
      <c r="X11" s="21">
        <v>52</v>
      </c>
      <c r="Y11" s="94">
        <v>75</v>
      </c>
      <c r="Z11" s="116">
        <v>90</v>
      </c>
      <c r="AA11" s="111">
        <v>6250417686</v>
      </c>
      <c r="AB11" s="21">
        <v>2760280403</v>
      </c>
      <c r="AC11" s="21">
        <v>2569258410</v>
      </c>
      <c r="AD11" s="21">
        <v>4394697565</v>
      </c>
      <c r="AE11" s="29">
        <f t="shared" si="0"/>
        <v>15974654064</v>
      </c>
      <c r="AF11" s="30" t="s">
        <v>368</v>
      </c>
    </row>
    <row r="12" spans="1:32" ht="82.8" x14ac:dyDescent="0.3">
      <c r="A12" s="148"/>
      <c r="B12" s="159">
        <v>0</v>
      </c>
      <c r="C12" s="148"/>
      <c r="D12" s="160">
        <v>0</v>
      </c>
      <c r="E12" s="75">
        <v>16.085000000000001</v>
      </c>
      <c r="F12" s="75">
        <f>10.95+18.801-8</f>
        <v>21.750999999999998</v>
      </c>
      <c r="G12" s="75">
        <v>11.29</v>
      </c>
      <c r="H12" s="75">
        <v>10.145999999999999</v>
      </c>
      <c r="I12" s="75">
        <v>12.118</v>
      </c>
      <c r="J12" s="73">
        <v>53010010005</v>
      </c>
      <c r="K12" s="30" t="s">
        <v>1812</v>
      </c>
      <c r="L12" s="30" t="s">
        <v>1813</v>
      </c>
      <c r="M12" s="22" t="s">
        <v>107</v>
      </c>
      <c r="N12" s="22" t="s">
        <v>373</v>
      </c>
      <c r="O12" s="73" t="s">
        <v>381</v>
      </c>
      <c r="P12" s="22" t="s">
        <v>812</v>
      </c>
      <c r="Q12" s="22" t="s">
        <v>373</v>
      </c>
      <c r="R12" s="22">
        <v>6</v>
      </c>
      <c r="S12" s="21">
        <v>32</v>
      </c>
      <c r="T12" s="22">
        <v>10</v>
      </c>
      <c r="U12" s="21">
        <v>9</v>
      </c>
      <c r="V12" s="21">
        <v>34</v>
      </c>
      <c r="W12" s="21">
        <v>18</v>
      </c>
      <c r="X12" s="21">
        <v>27</v>
      </c>
      <c r="Y12" s="94">
        <v>31</v>
      </c>
      <c r="Z12" s="116">
        <v>34</v>
      </c>
      <c r="AA12" s="111">
        <v>3608614369</v>
      </c>
      <c r="AB12" s="21">
        <v>21087790995</v>
      </c>
      <c r="AC12" s="21">
        <v>17184191440</v>
      </c>
      <c r="AD12" s="21">
        <v>861836980</v>
      </c>
      <c r="AE12" s="29">
        <f t="shared" si="0"/>
        <v>42742433784</v>
      </c>
      <c r="AF12" s="30" t="s">
        <v>368</v>
      </c>
    </row>
    <row r="13" spans="1:32" ht="179.4" x14ac:dyDescent="0.3">
      <c r="A13" s="148"/>
      <c r="B13" s="159">
        <v>0</v>
      </c>
      <c r="C13" s="148"/>
      <c r="D13" s="160">
        <v>0</v>
      </c>
      <c r="E13" s="75">
        <v>0</v>
      </c>
      <c r="F13" s="75">
        <f>18.801-18.801+7+7.5+8</f>
        <v>22.5</v>
      </c>
      <c r="G13" s="75">
        <v>18.426000000000002</v>
      </c>
      <c r="H13" s="75">
        <v>36.447000000000003</v>
      </c>
      <c r="I13" s="75">
        <v>18.419</v>
      </c>
      <c r="J13" s="73">
        <v>53010010006</v>
      </c>
      <c r="K13" s="30" t="s">
        <v>1814</v>
      </c>
      <c r="L13" s="30" t="s">
        <v>1815</v>
      </c>
      <c r="M13" s="22" t="s">
        <v>107</v>
      </c>
      <c r="N13" s="22" t="s">
        <v>376</v>
      </c>
      <c r="O13" s="73" t="s">
        <v>813</v>
      </c>
      <c r="P13" s="22" t="s">
        <v>814</v>
      </c>
      <c r="Q13" s="22" t="s">
        <v>376</v>
      </c>
      <c r="R13" s="22">
        <v>15</v>
      </c>
      <c r="S13" s="21">
        <v>32</v>
      </c>
      <c r="T13" s="22">
        <v>10</v>
      </c>
      <c r="U13" s="21">
        <v>0</v>
      </c>
      <c r="V13" s="21">
        <v>70</v>
      </c>
      <c r="W13" s="21">
        <v>0</v>
      </c>
      <c r="X13" s="21">
        <v>1</v>
      </c>
      <c r="Y13" s="94">
        <v>70</v>
      </c>
      <c r="Z13" s="116">
        <v>70</v>
      </c>
      <c r="AA13" s="111">
        <v>0</v>
      </c>
      <c r="AB13" s="21">
        <v>23500000000</v>
      </c>
      <c r="AC13" s="21">
        <v>62111523148</v>
      </c>
      <c r="AD13" s="21">
        <v>51773793092</v>
      </c>
      <c r="AE13" s="29">
        <f t="shared" si="0"/>
        <v>137385316240</v>
      </c>
      <c r="AF13" s="30" t="s">
        <v>368</v>
      </c>
    </row>
    <row r="14" spans="1:32" ht="124.2" x14ac:dyDescent="0.3">
      <c r="A14" s="148"/>
      <c r="B14" s="159">
        <v>0</v>
      </c>
      <c r="C14" s="148"/>
      <c r="D14" s="160">
        <v>0</v>
      </c>
      <c r="E14" s="75">
        <v>0</v>
      </c>
      <c r="F14" s="75">
        <v>6.2600000000000007</v>
      </c>
      <c r="G14" s="75">
        <v>6.2670000000000003</v>
      </c>
      <c r="H14" s="75">
        <f>8.089-2</f>
        <v>6.0890000000000004</v>
      </c>
      <c r="I14" s="75">
        <v>5.1539999999999999</v>
      </c>
      <c r="J14" s="73">
        <v>53010010007</v>
      </c>
      <c r="K14" s="30" t="s">
        <v>1816</v>
      </c>
      <c r="L14" s="30" t="s">
        <v>1817</v>
      </c>
      <c r="M14" s="22" t="s">
        <v>107</v>
      </c>
      <c r="N14" s="22" t="s">
        <v>374</v>
      </c>
      <c r="O14" s="73" t="s">
        <v>815</v>
      </c>
      <c r="P14" s="22" t="s">
        <v>816</v>
      </c>
      <c r="Q14" s="22" t="s">
        <v>373</v>
      </c>
      <c r="R14" s="22">
        <v>6</v>
      </c>
      <c r="S14" s="21">
        <v>32</v>
      </c>
      <c r="T14" s="22">
        <v>3</v>
      </c>
      <c r="U14" s="21">
        <v>0</v>
      </c>
      <c r="V14" s="21">
        <v>100</v>
      </c>
      <c r="W14" s="21">
        <v>0</v>
      </c>
      <c r="X14" s="21">
        <v>30</v>
      </c>
      <c r="Y14" s="94">
        <v>60</v>
      </c>
      <c r="Z14" s="116">
        <v>100</v>
      </c>
      <c r="AA14" s="111">
        <v>0</v>
      </c>
      <c r="AB14" s="21">
        <v>54699070</v>
      </c>
      <c r="AC14" s="21">
        <v>54699070</v>
      </c>
      <c r="AD14" s="21">
        <v>54699070</v>
      </c>
      <c r="AE14" s="29">
        <f t="shared" si="0"/>
        <v>164097210</v>
      </c>
      <c r="AF14" s="30" t="s">
        <v>365</v>
      </c>
    </row>
    <row r="15" spans="1:32" ht="51" customHeight="1" x14ac:dyDescent="0.3">
      <c r="A15" s="148"/>
      <c r="B15" s="159">
        <v>0</v>
      </c>
      <c r="C15" s="148" t="s">
        <v>1818</v>
      </c>
      <c r="D15" s="160">
        <v>30.486999999999998</v>
      </c>
      <c r="E15" s="75">
        <v>33.056000000000004</v>
      </c>
      <c r="F15" s="75">
        <f>31.008+9.295</f>
        <v>40.302999999999997</v>
      </c>
      <c r="G15" s="75">
        <f>31.083+12.904</f>
        <v>43.986999999999995</v>
      </c>
      <c r="H15" s="75">
        <f>27.163+39.856</f>
        <v>67.019000000000005</v>
      </c>
      <c r="I15" s="75">
        <v>30.576999999999998</v>
      </c>
      <c r="J15" s="73">
        <v>53010020001</v>
      </c>
      <c r="K15" s="30" t="s">
        <v>1819</v>
      </c>
      <c r="L15" s="30" t="s">
        <v>1820</v>
      </c>
      <c r="M15" s="22" t="s">
        <v>107</v>
      </c>
      <c r="N15" s="22" t="s">
        <v>373</v>
      </c>
      <c r="O15" s="73" t="s">
        <v>381</v>
      </c>
      <c r="P15" s="22" t="s">
        <v>817</v>
      </c>
      <c r="Q15" s="22" t="s">
        <v>373</v>
      </c>
      <c r="R15" s="22">
        <v>15</v>
      </c>
      <c r="S15" s="21">
        <v>32</v>
      </c>
      <c r="T15" s="22">
        <v>10</v>
      </c>
      <c r="U15" s="21">
        <v>295804</v>
      </c>
      <c r="V15" s="21">
        <v>395804</v>
      </c>
      <c r="W15" s="21">
        <v>325000</v>
      </c>
      <c r="X15" s="21">
        <v>350000</v>
      </c>
      <c r="Y15" s="94">
        <v>375000</v>
      </c>
      <c r="Z15" s="116">
        <v>395804</v>
      </c>
      <c r="AA15" s="111">
        <v>10992692697</v>
      </c>
      <c r="AB15" s="21">
        <v>915569131</v>
      </c>
      <c r="AC15" s="21">
        <v>2359718000</v>
      </c>
      <c r="AD15" s="21">
        <v>2878637000</v>
      </c>
      <c r="AE15" s="29">
        <f t="shared" si="0"/>
        <v>17146616828</v>
      </c>
      <c r="AF15" s="30" t="s">
        <v>368</v>
      </c>
    </row>
    <row r="16" spans="1:32" ht="69" x14ac:dyDescent="0.3">
      <c r="A16" s="148"/>
      <c r="B16" s="159">
        <v>0</v>
      </c>
      <c r="C16" s="148"/>
      <c r="D16" s="160">
        <v>0</v>
      </c>
      <c r="E16" s="75">
        <v>22.969000000000001</v>
      </c>
      <c r="F16" s="75">
        <f>16.233+20</f>
        <v>36.233000000000004</v>
      </c>
      <c r="G16" s="75">
        <f>16.438+10</f>
        <v>26.437999999999999</v>
      </c>
      <c r="H16" s="75">
        <f>16.408-16.408</f>
        <v>0</v>
      </c>
      <c r="I16" s="75">
        <v>18.012</v>
      </c>
      <c r="J16" s="73">
        <v>53010020002</v>
      </c>
      <c r="K16" s="30" t="s">
        <v>1821</v>
      </c>
      <c r="L16" s="30" t="s">
        <v>1822</v>
      </c>
      <c r="M16" s="22" t="s">
        <v>107</v>
      </c>
      <c r="N16" s="22" t="s">
        <v>373</v>
      </c>
      <c r="O16" s="73" t="s">
        <v>381</v>
      </c>
      <c r="P16" s="22" t="s">
        <v>818</v>
      </c>
      <c r="Q16" s="22" t="s">
        <v>373</v>
      </c>
      <c r="R16" s="22">
        <v>11</v>
      </c>
      <c r="S16" s="21">
        <v>40</v>
      </c>
      <c r="T16" s="22">
        <v>10</v>
      </c>
      <c r="U16" s="21">
        <v>15</v>
      </c>
      <c r="V16" s="21">
        <v>27</v>
      </c>
      <c r="W16" s="21">
        <v>17</v>
      </c>
      <c r="X16" s="21">
        <v>20</v>
      </c>
      <c r="Y16" s="94">
        <v>23</v>
      </c>
      <c r="Z16" s="116">
        <v>0</v>
      </c>
      <c r="AA16" s="111">
        <v>1500000000</v>
      </c>
      <c r="AB16" s="21">
        <v>1086553600</v>
      </c>
      <c r="AC16" s="21">
        <v>1004925000</v>
      </c>
      <c r="AD16" s="21">
        <v>0</v>
      </c>
      <c r="AE16" s="29">
        <f t="shared" si="0"/>
        <v>3591478600</v>
      </c>
      <c r="AF16" s="30" t="s">
        <v>368</v>
      </c>
    </row>
    <row r="17" spans="1:32" ht="82.8" x14ac:dyDescent="0.3">
      <c r="A17" s="148"/>
      <c r="B17" s="159">
        <v>0</v>
      </c>
      <c r="C17" s="148"/>
      <c r="D17" s="160">
        <v>0</v>
      </c>
      <c r="E17" s="75">
        <v>25.652000000000001</v>
      </c>
      <c r="F17" s="75">
        <f>36.295-20-9.295-7</f>
        <v>0</v>
      </c>
      <c r="G17" s="75">
        <f>35.904-12.904-10-13</f>
        <v>0</v>
      </c>
      <c r="H17" s="75">
        <f>39.856-39.856</f>
        <v>0</v>
      </c>
      <c r="I17" s="75">
        <v>34.427</v>
      </c>
      <c r="J17" s="73">
        <v>53010020003</v>
      </c>
      <c r="K17" s="30" t="s">
        <v>1823</v>
      </c>
      <c r="L17" s="30" t="s">
        <v>1824</v>
      </c>
      <c r="M17" s="22" t="s">
        <v>144</v>
      </c>
      <c r="N17" s="22" t="s">
        <v>376</v>
      </c>
      <c r="O17" s="73" t="s">
        <v>819</v>
      </c>
      <c r="P17" s="22" t="s">
        <v>820</v>
      </c>
      <c r="Q17" s="22" t="s">
        <v>376</v>
      </c>
      <c r="R17" s="22">
        <v>15</v>
      </c>
      <c r="S17" s="21">
        <v>32</v>
      </c>
      <c r="T17" s="22">
        <v>10</v>
      </c>
      <c r="U17" s="21">
        <v>1019</v>
      </c>
      <c r="V17" s="21">
        <v>1200</v>
      </c>
      <c r="W17" s="21">
        <v>100</v>
      </c>
      <c r="X17" s="21">
        <v>0</v>
      </c>
      <c r="Y17" s="94">
        <v>0</v>
      </c>
      <c r="Z17" s="116">
        <v>0</v>
      </c>
      <c r="AA17" s="111">
        <v>2054116010</v>
      </c>
      <c r="AB17" s="21">
        <v>0</v>
      </c>
      <c r="AC17" s="21">
        <v>0</v>
      </c>
      <c r="AD17" s="21">
        <v>0</v>
      </c>
      <c r="AE17" s="29">
        <f t="shared" si="0"/>
        <v>2054116010</v>
      </c>
      <c r="AF17" s="30" t="s">
        <v>368</v>
      </c>
    </row>
    <row r="18" spans="1:32" ht="41.4" x14ac:dyDescent="0.3">
      <c r="A18" s="148"/>
      <c r="B18" s="159">
        <v>0</v>
      </c>
      <c r="C18" s="148"/>
      <c r="D18" s="160">
        <v>0</v>
      </c>
      <c r="E18" s="75">
        <v>18.323</v>
      </c>
      <c r="F18" s="75">
        <f>16.464+7</f>
        <v>23.463999999999999</v>
      </c>
      <c r="G18" s="75">
        <f>16.575+13</f>
        <v>29.574999999999999</v>
      </c>
      <c r="H18" s="75">
        <f>16.573+16.408</f>
        <v>32.981000000000002</v>
      </c>
      <c r="I18" s="75">
        <v>16.983999999999998</v>
      </c>
      <c r="J18" s="73">
        <v>53010020004</v>
      </c>
      <c r="K18" s="30" t="s">
        <v>1825</v>
      </c>
      <c r="L18" s="30" t="s">
        <v>1826</v>
      </c>
      <c r="M18" s="22" t="s">
        <v>107</v>
      </c>
      <c r="N18" s="22" t="s">
        <v>373</v>
      </c>
      <c r="O18" s="73" t="s">
        <v>381</v>
      </c>
      <c r="P18" s="22" t="s">
        <v>821</v>
      </c>
      <c r="Q18" s="22" t="s">
        <v>373</v>
      </c>
      <c r="R18" s="22">
        <v>15</v>
      </c>
      <c r="S18" s="21">
        <v>32</v>
      </c>
      <c r="T18" s="22">
        <v>10</v>
      </c>
      <c r="U18" s="21">
        <v>1</v>
      </c>
      <c r="V18" s="21">
        <v>11</v>
      </c>
      <c r="W18" s="21">
        <v>2</v>
      </c>
      <c r="X18" s="21">
        <v>5</v>
      </c>
      <c r="Y18" s="94">
        <v>8</v>
      </c>
      <c r="Z18" s="116">
        <v>11</v>
      </c>
      <c r="AA18" s="111">
        <v>500000000</v>
      </c>
      <c r="AB18" s="21">
        <v>703306000</v>
      </c>
      <c r="AC18" s="21">
        <v>1482858653</v>
      </c>
      <c r="AD18" s="21">
        <v>634538000</v>
      </c>
      <c r="AE18" s="29">
        <f t="shared" si="0"/>
        <v>3320702653</v>
      </c>
      <c r="AF18" s="30" t="s">
        <v>368</v>
      </c>
    </row>
    <row r="19" spans="1:32" ht="51" customHeight="1" x14ac:dyDescent="0.3">
      <c r="A19" s="148"/>
      <c r="B19" s="159">
        <v>0</v>
      </c>
      <c r="C19" s="148" t="s">
        <v>1827</v>
      </c>
      <c r="D19" s="160">
        <v>20.460999999999999</v>
      </c>
      <c r="E19" s="75">
        <v>10.403</v>
      </c>
      <c r="F19" s="75">
        <v>7.9710000000000001</v>
      </c>
      <c r="G19" s="75">
        <v>6.4420000000000002</v>
      </c>
      <c r="H19" s="75">
        <f>6.892+2</f>
        <v>8.8919999999999995</v>
      </c>
      <c r="I19" s="75">
        <v>7.9269999999999996</v>
      </c>
      <c r="J19" s="73">
        <v>53010030001</v>
      </c>
      <c r="K19" s="30" t="s">
        <v>1828</v>
      </c>
      <c r="L19" s="30" t="s">
        <v>1829</v>
      </c>
      <c r="M19" s="22" t="s">
        <v>144</v>
      </c>
      <c r="N19" s="22" t="s">
        <v>373</v>
      </c>
      <c r="O19" s="73" t="s">
        <v>408</v>
      </c>
      <c r="P19" s="22" t="s">
        <v>822</v>
      </c>
      <c r="Q19" s="22" t="s">
        <v>373</v>
      </c>
      <c r="R19" s="22">
        <v>17</v>
      </c>
      <c r="S19" s="21">
        <v>32</v>
      </c>
      <c r="T19" s="22">
        <v>16</v>
      </c>
      <c r="U19" s="21">
        <v>2</v>
      </c>
      <c r="V19" s="21">
        <v>2</v>
      </c>
      <c r="W19" s="21">
        <v>1</v>
      </c>
      <c r="X19" s="21">
        <v>2</v>
      </c>
      <c r="Y19" s="94">
        <v>2</v>
      </c>
      <c r="Z19" s="116">
        <v>2</v>
      </c>
      <c r="AA19" s="111">
        <v>571622778</v>
      </c>
      <c r="AB19" s="21">
        <v>203694600</v>
      </c>
      <c r="AC19" s="21">
        <v>250000000</v>
      </c>
      <c r="AD19" s="21">
        <v>160878000</v>
      </c>
      <c r="AE19" s="29">
        <f t="shared" si="0"/>
        <v>1186195378</v>
      </c>
      <c r="AF19" s="30" t="s">
        <v>368</v>
      </c>
    </row>
    <row r="20" spans="1:32" ht="138" x14ac:dyDescent="0.3">
      <c r="A20" s="148"/>
      <c r="B20" s="159">
        <v>0</v>
      </c>
      <c r="C20" s="148"/>
      <c r="D20" s="160">
        <v>0</v>
      </c>
      <c r="E20" s="75">
        <v>10.578999999999999</v>
      </c>
      <c r="F20" s="75">
        <v>10.108000000000001</v>
      </c>
      <c r="G20" s="75">
        <f>6.664+3</f>
        <v>9.6639999999999997</v>
      </c>
      <c r="H20" s="75">
        <f>7.027+2</f>
        <v>9.027000000000001</v>
      </c>
      <c r="I20" s="75">
        <v>8.5939999999999994</v>
      </c>
      <c r="J20" s="73">
        <v>53010030002</v>
      </c>
      <c r="K20" s="30" t="s">
        <v>1830</v>
      </c>
      <c r="L20" s="30" t="s">
        <v>1831</v>
      </c>
      <c r="M20" s="22" t="s">
        <v>107</v>
      </c>
      <c r="N20" s="22" t="s">
        <v>373</v>
      </c>
      <c r="O20" s="73" t="s">
        <v>400</v>
      </c>
      <c r="P20" s="22" t="s">
        <v>823</v>
      </c>
      <c r="Q20" s="22" t="s">
        <v>373</v>
      </c>
      <c r="R20" s="22">
        <v>15</v>
      </c>
      <c r="S20" s="21">
        <v>32</v>
      </c>
      <c r="T20" s="22">
        <v>10</v>
      </c>
      <c r="U20" s="21">
        <v>0</v>
      </c>
      <c r="V20" s="21">
        <v>1</v>
      </c>
      <c r="W20" s="48">
        <v>0.2</v>
      </c>
      <c r="X20" s="48">
        <v>0.3</v>
      </c>
      <c r="Y20" s="102">
        <v>0.4</v>
      </c>
      <c r="Z20" s="116">
        <v>1</v>
      </c>
      <c r="AA20" s="111">
        <v>944405887</v>
      </c>
      <c r="AB20" s="21">
        <v>425193314</v>
      </c>
      <c r="AC20" s="21">
        <v>536225000</v>
      </c>
      <c r="AD20" s="21">
        <v>417848000</v>
      </c>
      <c r="AE20" s="29">
        <f t="shared" si="0"/>
        <v>2323672201</v>
      </c>
      <c r="AF20" s="30" t="s">
        <v>368</v>
      </c>
    </row>
    <row r="21" spans="1:32" ht="69" x14ac:dyDescent="0.3">
      <c r="A21" s="148"/>
      <c r="B21" s="159">
        <v>0</v>
      </c>
      <c r="C21" s="148"/>
      <c r="D21" s="160">
        <v>0</v>
      </c>
      <c r="E21" s="75">
        <v>20.244</v>
      </c>
      <c r="F21" s="75">
        <v>10.346</v>
      </c>
      <c r="G21" s="75">
        <f>12.363+3</f>
        <v>15.363</v>
      </c>
      <c r="H21" s="75">
        <f>30.972-2-3-14-2-2</f>
        <v>7.9720000000000013</v>
      </c>
      <c r="I21" s="75">
        <v>18.482000000000003</v>
      </c>
      <c r="J21" s="73">
        <v>53010030003</v>
      </c>
      <c r="K21" s="30" t="s">
        <v>1832</v>
      </c>
      <c r="L21" s="30" t="s">
        <v>1833</v>
      </c>
      <c r="M21" s="22" t="s">
        <v>107</v>
      </c>
      <c r="N21" s="22" t="s">
        <v>373</v>
      </c>
      <c r="O21" s="73" t="s">
        <v>400</v>
      </c>
      <c r="P21" s="22" t="s">
        <v>824</v>
      </c>
      <c r="Q21" s="22" t="s">
        <v>373</v>
      </c>
      <c r="R21" s="22">
        <v>15</v>
      </c>
      <c r="S21" s="21">
        <v>32</v>
      </c>
      <c r="T21" s="22">
        <v>15</v>
      </c>
      <c r="U21" s="21">
        <v>1</v>
      </c>
      <c r="V21" s="21">
        <v>3</v>
      </c>
      <c r="W21" s="21">
        <v>1</v>
      </c>
      <c r="X21" s="21">
        <v>1</v>
      </c>
      <c r="Y21" s="94">
        <v>1</v>
      </c>
      <c r="Z21" s="116">
        <v>3</v>
      </c>
      <c r="AA21" s="111">
        <v>2700000000</v>
      </c>
      <c r="AB21" s="21">
        <v>228901196</v>
      </c>
      <c r="AC21" s="21">
        <v>1298365936</v>
      </c>
      <c r="AD21" s="21">
        <v>220750000</v>
      </c>
      <c r="AE21" s="29">
        <f t="shared" si="0"/>
        <v>4448017132</v>
      </c>
      <c r="AF21" s="30" t="s">
        <v>368</v>
      </c>
    </row>
    <row r="22" spans="1:32" ht="289.8" x14ac:dyDescent="0.3">
      <c r="A22" s="148"/>
      <c r="B22" s="159">
        <v>0</v>
      </c>
      <c r="C22" s="148"/>
      <c r="D22" s="160">
        <v>0</v>
      </c>
      <c r="E22" s="75">
        <v>16.202999999999999</v>
      </c>
      <c r="F22" s="75">
        <f>5.761+3.837</f>
        <v>9.5980000000000008</v>
      </c>
      <c r="G22" s="75">
        <v>9.3450000000000006</v>
      </c>
      <c r="H22" s="75">
        <v>8.6470000000000002</v>
      </c>
      <c r="I22" s="75">
        <v>9.9890000000000008</v>
      </c>
      <c r="J22" s="73">
        <v>53010030004</v>
      </c>
      <c r="K22" s="30" t="s">
        <v>1834</v>
      </c>
      <c r="L22" s="30" t="s">
        <v>1835</v>
      </c>
      <c r="M22" s="22" t="s">
        <v>107</v>
      </c>
      <c r="N22" s="22" t="s">
        <v>374</v>
      </c>
      <c r="O22" s="73" t="s">
        <v>579</v>
      </c>
      <c r="P22" s="22" t="s">
        <v>825</v>
      </c>
      <c r="Q22" s="22" t="s">
        <v>374</v>
      </c>
      <c r="R22" s="22">
        <v>17</v>
      </c>
      <c r="S22" s="21">
        <v>32</v>
      </c>
      <c r="T22" s="22">
        <v>17</v>
      </c>
      <c r="U22" s="21">
        <v>0</v>
      </c>
      <c r="V22" s="21">
        <v>100</v>
      </c>
      <c r="W22" s="21">
        <v>15</v>
      </c>
      <c r="X22" s="21">
        <v>60</v>
      </c>
      <c r="Y22" s="94">
        <v>85</v>
      </c>
      <c r="Z22" s="116">
        <v>100</v>
      </c>
      <c r="AA22" s="111">
        <v>1446541800</v>
      </c>
      <c r="AB22" s="21">
        <v>409528000</v>
      </c>
      <c r="AC22" s="21">
        <v>370472149</v>
      </c>
      <c r="AD22" s="21">
        <v>291705000</v>
      </c>
      <c r="AE22" s="29">
        <f t="shared" si="0"/>
        <v>2518246949</v>
      </c>
      <c r="AF22" s="30" t="s">
        <v>368</v>
      </c>
    </row>
    <row r="23" spans="1:32" ht="55.2" x14ac:dyDescent="0.3">
      <c r="A23" s="148"/>
      <c r="B23" s="159">
        <v>0</v>
      </c>
      <c r="C23" s="148"/>
      <c r="D23" s="160">
        <v>0</v>
      </c>
      <c r="E23" s="75">
        <v>12.802</v>
      </c>
      <c r="F23" s="75">
        <f>9.306+2</f>
        <v>11.305999999999999</v>
      </c>
      <c r="G23" s="75">
        <f>14.236-3</f>
        <v>11.236000000000001</v>
      </c>
      <c r="H23" s="75">
        <f>12.959+2+2</f>
        <v>16.959</v>
      </c>
      <c r="I23" s="75">
        <v>12.325999999999999</v>
      </c>
      <c r="J23" s="73">
        <v>53010030005</v>
      </c>
      <c r="K23" s="30" t="s">
        <v>1836</v>
      </c>
      <c r="L23" s="30" t="s">
        <v>1837</v>
      </c>
      <c r="M23" s="22" t="s">
        <v>107</v>
      </c>
      <c r="N23" s="22" t="s">
        <v>373</v>
      </c>
      <c r="O23" s="73" t="s">
        <v>381</v>
      </c>
      <c r="P23" s="22" t="s">
        <v>826</v>
      </c>
      <c r="Q23" s="22" t="s">
        <v>373</v>
      </c>
      <c r="R23" s="22">
        <v>15</v>
      </c>
      <c r="S23" s="21">
        <v>32</v>
      </c>
      <c r="T23" s="22">
        <v>18</v>
      </c>
      <c r="U23" s="21">
        <v>500</v>
      </c>
      <c r="V23" s="21">
        <v>2500</v>
      </c>
      <c r="W23" s="21">
        <v>800</v>
      </c>
      <c r="X23" s="21">
        <v>900</v>
      </c>
      <c r="Y23" s="94">
        <v>1900</v>
      </c>
      <c r="Z23" s="116">
        <v>2500</v>
      </c>
      <c r="AA23" s="111">
        <v>969828891</v>
      </c>
      <c r="AB23" s="21">
        <v>1721400000</v>
      </c>
      <c r="AC23" s="95">
        <v>748287800</v>
      </c>
      <c r="AD23" s="21">
        <v>1159537939</v>
      </c>
      <c r="AE23" s="29">
        <f t="shared" si="0"/>
        <v>4599054630</v>
      </c>
      <c r="AF23" s="30" t="s">
        <v>372</v>
      </c>
    </row>
    <row r="24" spans="1:32" ht="110.4" x14ac:dyDescent="0.3">
      <c r="A24" s="148"/>
      <c r="B24" s="159">
        <v>0</v>
      </c>
      <c r="C24" s="148"/>
      <c r="D24" s="160">
        <v>0</v>
      </c>
      <c r="E24" s="75">
        <v>0</v>
      </c>
      <c r="F24" s="75">
        <v>5.3540000000000001</v>
      </c>
      <c r="G24" s="75">
        <v>5.6980000000000004</v>
      </c>
      <c r="H24" s="75">
        <v>7.4499999999999993</v>
      </c>
      <c r="I24" s="75">
        <v>4.6260000000000003</v>
      </c>
      <c r="J24" s="73">
        <v>53010030006</v>
      </c>
      <c r="K24" s="30" t="s">
        <v>1838</v>
      </c>
      <c r="L24" s="30" t="s">
        <v>1839</v>
      </c>
      <c r="M24" s="22" t="s">
        <v>107</v>
      </c>
      <c r="N24" s="22" t="s">
        <v>374</v>
      </c>
      <c r="O24" s="73" t="s">
        <v>827</v>
      </c>
      <c r="P24" s="22" t="s">
        <v>828</v>
      </c>
      <c r="Q24" s="22" t="s">
        <v>374</v>
      </c>
      <c r="R24" s="22">
        <v>8</v>
      </c>
      <c r="S24" s="21">
        <v>35</v>
      </c>
      <c r="T24" s="22">
        <v>13</v>
      </c>
      <c r="U24" s="21">
        <v>30</v>
      </c>
      <c r="V24" s="21">
        <v>88</v>
      </c>
      <c r="W24" s="21">
        <v>0</v>
      </c>
      <c r="X24" s="21">
        <v>58</v>
      </c>
      <c r="Y24" s="94">
        <v>78</v>
      </c>
      <c r="Z24" s="116">
        <v>88</v>
      </c>
      <c r="AA24" s="111">
        <v>0</v>
      </c>
      <c r="AB24" s="21">
        <v>80000000</v>
      </c>
      <c r="AC24" s="21">
        <v>245000000</v>
      </c>
      <c r="AD24" s="21">
        <v>195000000</v>
      </c>
      <c r="AE24" s="29">
        <f t="shared" si="0"/>
        <v>520000000</v>
      </c>
      <c r="AF24" s="30" t="s">
        <v>357</v>
      </c>
    </row>
    <row r="25" spans="1:32" ht="110.4" x14ac:dyDescent="0.3">
      <c r="A25" s="148"/>
      <c r="B25" s="159">
        <v>0</v>
      </c>
      <c r="C25" s="148"/>
      <c r="D25" s="160">
        <v>0</v>
      </c>
      <c r="E25" s="75">
        <v>19.042000000000002</v>
      </c>
      <c r="F25" s="75">
        <v>10.47</v>
      </c>
      <c r="G25" s="75">
        <f>16.53+4.359-12</f>
        <v>8.8890000000000029</v>
      </c>
      <c r="H25" s="75">
        <f>10.9-2-1</f>
        <v>7.9</v>
      </c>
      <c r="I25" s="75">
        <v>14.235000000000001</v>
      </c>
      <c r="J25" s="73">
        <v>53010030007</v>
      </c>
      <c r="K25" s="30" t="s">
        <v>1840</v>
      </c>
      <c r="L25" s="30" t="s">
        <v>1841</v>
      </c>
      <c r="M25" s="22" t="s">
        <v>107</v>
      </c>
      <c r="N25" s="22" t="s">
        <v>373</v>
      </c>
      <c r="O25" s="73" t="s">
        <v>381</v>
      </c>
      <c r="P25" s="22" t="s">
        <v>829</v>
      </c>
      <c r="Q25" s="22" t="s">
        <v>373</v>
      </c>
      <c r="R25" s="22">
        <v>11</v>
      </c>
      <c r="S25" s="21">
        <v>32</v>
      </c>
      <c r="T25" s="22">
        <v>10</v>
      </c>
      <c r="U25" s="21">
        <v>0</v>
      </c>
      <c r="V25" s="21">
        <v>50</v>
      </c>
      <c r="W25" s="21">
        <v>5</v>
      </c>
      <c r="X25" s="21">
        <v>20</v>
      </c>
      <c r="Y25" s="94">
        <v>35</v>
      </c>
      <c r="Z25" s="116">
        <v>50</v>
      </c>
      <c r="AA25" s="111">
        <v>1700000000</v>
      </c>
      <c r="AB25" s="21">
        <v>189849600</v>
      </c>
      <c r="AC25" s="21">
        <v>250000000</v>
      </c>
      <c r="AD25" s="21">
        <v>158581000</v>
      </c>
      <c r="AE25" s="29">
        <f t="shared" si="0"/>
        <v>2298430600</v>
      </c>
      <c r="AF25" s="30" t="s">
        <v>368</v>
      </c>
    </row>
    <row r="26" spans="1:32" ht="69" x14ac:dyDescent="0.3">
      <c r="A26" s="148"/>
      <c r="B26" s="159">
        <v>0</v>
      </c>
      <c r="C26" s="148"/>
      <c r="D26" s="160">
        <v>0</v>
      </c>
      <c r="E26" s="75">
        <v>0</v>
      </c>
      <c r="F26" s="75">
        <f>5.837-3.837-2</f>
        <v>0</v>
      </c>
      <c r="G26" s="75">
        <v>6.3589999999999991</v>
      </c>
      <c r="H26" s="75">
        <f>7.821+1</f>
        <v>8.8209999999999997</v>
      </c>
      <c r="I26" s="75">
        <v>5.0040000000000004</v>
      </c>
      <c r="J26" s="73">
        <v>53010030008</v>
      </c>
      <c r="K26" s="30" t="s">
        <v>1842</v>
      </c>
      <c r="L26" s="30" t="s">
        <v>1843</v>
      </c>
      <c r="M26" s="22" t="s">
        <v>107</v>
      </c>
      <c r="N26" s="22" t="s">
        <v>373</v>
      </c>
      <c r="O26" s="73" t="s">
        <v>381</v>
      </c>
      <c r="P26" s="22" t="s">
        <v>830</v>
      </c>
      <c r="Q26" s="22" t="s">
        <v>373</v>
      </c>
      <c r="R26" s="22">
        <v>6</v>
      </c>
      <c r="S26" s="21">
        <v>32</v>
      </c>
      <c r="T26" s="22">
        <v>10</v>
      </c>
      <c r="U26" s="21">
        <v>1</v>
      </c>
      <c r="V26" s="21">
        <v>3</v>
      </c>
      <c r="W26" s="21">
        <v>0</v>
      </c>
      <c r="X26" s="21">
        <v>0</v>
      </c>
      <c r="Y26" s="94">
        <v>2</v>
      </c>
      <c r="Z26" s="116">
        <v>3</v>
      </c>
      <c r="AA26" s="111">
        <v>0</v>
      </c>
      <c r="AB26" s="21">
        <v>0</v>
      </c>
      <c r="AC26" s="21">
        <v>194670000</v>
      </c>
      <c r="AD26" s="21">
        <v>244450000</v>
      </c>
      <c r="AE26" s="29">
        <f t="shared" si="0"/>
        <v>439120000</v>
      </c>
      <c r="AF26" s="30" t="s">
        <v>368</v>
      </c>
    </row>
    <row r="27" spans="1:32" ht="69" x14ac:dyDescent="0.3">
      <c r="A27" s="148"/>
      <c r="B27" s="159">
        <v>0</v>
      </c>
      <c r="C27" s="148"/>
      <c r="D27" s="160">
        <v>0</v>
      </c>
      <c r="E27" s="75">
        <v>10.727</v>
      </c>
      <c r="F27" s="75">
        <v>5.359</v>
      </c>
      <c r="G27" s="75">
        <v>5.5659999999999998</v>
      </c>
      <c r="H27" s="75">
        <v>7.3319999999999999</v>
      </c>
      <c r="I27" s="75">
        <v>7.2459999999999996</v>
      </c>
      <c r="J27" s="73">
        <v>53010030009</v>
      </c>
      <c r="K27" s="30" t="s">
        <v>1844</v>
      </c>
      <c r="L27" s="30" t="s">
        <v>1845</v>
      </c>
      <c r="M27" s="22" t="s">
        <v>107</v>
      </c>
      <c r="N27" s="22" t="s">
        <v>373</v>
      </c>
      <c r="O27" s="73" t="s">
        <v>414</v>
      </c>
      <c r="P27" s="22" t="s">
        <v>831</v>
      </c>
      <c r="Q27" s="22" t="s">
        <v>373</v>
      </c>
      <c r="R27" s="22">
        <v>6</v>
      </c>
      <c r="S27" s="21">
        <v>32</v>
      </c>
      <c r="T27" s="22">
        <v>3</v>
      </c>
      <c r="U27" s="21">
        <v>0</v>
      </c>
      <c r="V27" s="21">
        <v>1</v>
      </c>
      <c r="W27" s="48">
        <v>0.1</v>
      </c>
      <c r="X27" s="48">
        <v>0.4</v>
      </c>
      <c r="Y27" s="102">
        <v>0.7</v>
      </c>
      <c r="Z27" s="121">
        <v>1</v>
      </c>
      <c r="AA27" s="87">
        <v>64869608</v>
      </c>
      <c r="AB27" s="29">
        <v>81087010</v>
      </c>
      <c r="AC27" s="29">
        <v>81087010</v>
      </c>
      <c r="AD27" s="29">
        <v>80535212</v>
      </c>
      <c r="AE27" s="29">
        <f t="shared" si="0"/>
        <v>307578840</v>
      </c>
      <c r="AF27" s="30" t="s">
        <v>365</v>
      </c>
    </row>
    <row r="28" spans="1:32" ht="110.4" x14ac:dyDescent="0.3">
      <c r="A28" s="148"/>
      <c r="B28" s="159">
        <v>0</v>
      </c>
      <c r="C28" s="148"/>
      <c r="D28" s="160">
        <v>0</v>
      </c>
      <c r="E28" s="75">
        <v>0</v>
      </c>
      <c r="F28" s="75">
        <f>5.886-5.886</f>
        <v>0</v>
      </c>
      <c r="G28" s="75">
        <f>6.438-6.438</f>
        <v>0</v>
      </c>
      <c r="H28" s="75">
        <f>0+3</f>
        <v>3</v>
      </c>
      <c r="I28" s="75">
        <v>3.081</v>
      </c>
      <c r="J28" s="73">
        <v>53010030010</v>
      </c>
      <c r="K28" s="30" t="s">
        <v>1846</v>
      </c>
      <c r="L28" s="30" t="s">
        <v>1847</v>
      </c>
      <c r="M28" s="22" t="s">
        <v>107</v>
      </c>
      <c r="N28" s="22" t="s">
        <v>373</v>
      </c>
      <c r="O28" s="73" t="s">
        <v>408</v>
      </c>
      <c r="P28" s="22" t="s">
        <v>832</v>
      </c>
      <c r="Q28" s="22" t="s">
        <v>373</v>
      </c>
      <c r="R28" s="22">
        <v>11</v>
      </c>
      <c r="S28" s="21">
        <v>32</v>
      </c>
      <c r="T28" s="22">
        <v>10</v>
      </c>
      <c r="U28" s="21">
        <v>0</v>
      </c>
      <c r="V28" s="21">
        <v>1</v>
      </c>
      <c r="W28" s="21">
        <v>0</v>
      </c>
      <c r="X28" s="21">
        <v>0</v>
      </c>
      <c r="Y28" s="94">
        <v>0</v>
      </c>
      <c r="Z28" s="116">
        <v>1</v>
      </c>
      <c r="AA28" s="111">
        <v>0</v>
      </c>
      <c r="AB28" s="21">
        <v>0</v>
      </c>
      <c r="AC28" s="21">
        <v>0</v>
      </c>
      <c r="AD28" s="21">
        <v>51000000</v>
      </c>
      <c r="AE28" s="29">
        <f t="shared" si="0"/>
        <v>51000000</v>
      </c>
      <c r="AF28" s="30" t="s">
        <v>368</v>
      </c>
    </row>
    <row r="29" spans="1:32" ht="41.4" x14ac:dyDescent="0.3">
      <c r="A29" s="148"/>
      <c r="B29" s="159">
        <v>0</v>
      </c>
      <c r="C29" s="148"/>
      <c r="D29" s="160">
        <v>0</v>
      </c>
      <c r="E29" s="75">
        <v>0</v>
      </c>
      <c r="F29" s="75">
        <f>23.602+5.886</f>
        <v>29.488</v>
      </c>
      <c r="G29" s="75">
        <f>10.359-3-4.359+12+6.438</f>
        <v>21.437999999999999</v>
      </c>
      <c r="H29" s="75">
        <f>0+14</f>
        <v>14</v>
      </c>
      <c r="I29" s="75">
        <v>8.49</v>
      </c>
      <c r="J29" s="73">
        <v>53010030011</v>
      </c>
      <c r="K29" s="30" t="s">
        <v>1848</v>
      </c>
      <c r="L29" s="30" t="s">
        <v>1849</v>
      </c>
      <c r="M29" s="22" t="s">
        <v>107</v>
      </c>
      <c r="N29" s="22" t="s">
        <v>374</v>
      </c>
      <c r="O29" s="73" t="s">
        <v>381</v>
      </c>
      <c r="P29" s="22" t="s">
        <v>833</v>
      </c>
      <c r="Q29" s="22" t="s">
        <v>374</v>
      </c>
      <c r="R29" s="22">
        <v>11</v>
      </c>
      <c r="S29" s="21">
        <v>19</v>
      </c>
      <c r="T29" s="22">
        <v>15</v>
      </c>
      <c r="U29" s="21">
        <v>0</v>
      </c>
      <c r="V29" s="21">
        <v>100</v>
      </c>
      <c r="W29" s="21">
        <v>0</v>
      </c>
      <c r="X29" s="21">
        <v>100</v>
      </c>
      <c r="Y29" s="94">
        <v>100</v>
      </c>
      <c r="Z29" s="116">
        <v>100</v>
      </c>
      <c r="AA29" s="111">
        <v>0</v>
      </c>
      <c r="AB29" s="21">
        <v>12025717030</v>
      </c>
      <c r="AC29" s="21">
        <v>1900000000</v>
      </c>
      <c r="AD29" s="21">
        <v>950000000</v>
      </c>
      <c r="AE29" s="29">
        <f t="shared" si="0"/>
        <v>14875717030</v>
      </c>
      <c r="AF29" s="30" t="s">
        <v>368</v>
      </c>
    </row>
    <row r="30" spans="1:32" ht="41.4" x14ac:dyDescent="0.3">
      <c r="A30" s="148"/>
      <c r="B30" s="159">
        <v>0</v>
      </c>
      <c r="C30" s="148" t="s">
        <v>1850</v>
      </c>
      <c r="D30" s="160">
        <v>12.873000000000001</v>
      </c>
      <c r="E30" s="75">
        <v>0</v>
      </c>
      <c r="F30" s="75">
        <f>21.094+7.083</f>
        <v>28.177</v>
      </c>
      <c r="G30" s="74">
        <f>29.262+3.211</f>
        <v>32.472999999999999</v>
      </c>
      <c r="H30" s="75">
        <f>0+6.876+20+3</f>
        <v>29.876000000000001</v>
      </c>
      <c r="I30" s="75">
        <v>12.590000000000002</v>
      </c>
      <c r="J30" s="73">
        <v>53010040001</v>
      </c>
      <c r="K30" s="30" t="s">
        <v>1851</v>
      </c>
      <c r="L30" s="30" t="s">
        <v>1852</v>
      </c>
      <c r="M30" s="22" t="s">
        <v>107</v>
      </c>
      <c r="N30" s="22" t="s">
        <v>373</v>
      </c>
      <c r="O30" s="73" t="s">
        <v>381</v>
      </c>
      <c r="P30" s="22" t="s">
        <v>834</v>
      </c>
      <c r="Q30" s="22" t="s">
        <v>373</v>
      </c>
      <c r="R30" s="22">
        <v>15</v>
      </c>
      <c r="S30" s="21">
        <v>32</v>
      </c>
      <c r="T30" s="22">
        <v>10</v>
      </c>
      <c r="U30" s="21">
        <v>2</v>
      </c>
      <c r="V30" s="21">
        <v>3</v>
      </c>
      <c r="W30" s="21">
        <v>0</v>
      </c>
      <c r="X30" s="21">
        <v>2</v>
      </c>
      <c r="Y30" s="94">
        <v>3</v>
      </c>
      <c r="Z30" s="116">
        <v>3</v>
      </c>
      <c r="AA30" s="111">
        <v>0</v>
      </c>
      <c r="AB30" s="21">
        <v>1123981452</v>
      </c>
      <c r="AC30" s="21">
        <v>2000000000</v>
      </c>
      <c r="AD30" s="21">
        <v>1694717644</v>
      </c>
      <c r="AE30" s="29">
        <f t="shared" si="0"/>
        <v>4818699096</v>
      </c>
      <c r="AF30" s="30" t="s">
        <v>368</v>
      </c>
    </row>
    <row r="31" spans="1:32" ht="55.2" x14ac:dyDescent="0.3">
      <c r="A31" s="148"/>
      <c r="B31" s="159">
        <v>0</v>
      </c>
      <c r="C31" s="148"/>
      <c r="D31" s="160">
        <v>0</v>
      </c>
      <c r="E31" s="75">
        <v>28.988999999999997</v>
      </c>
      <c r="F31" s="75">
        <f>19.623-6</f>
        <v>13.623000000000001</v>
      </c>
      <c r="G31" s="74">
        <f>0+4+9.404</f>
        <v>13.404</v>
      </c>
      <c r="H31" s="75">
        <v>0</v>
      </c>
      <c r="I31" s="75">
        <v>12.153</v>
      </c>
      <c r="J31" s="73">
        <v>53010040002</v>
      </c>
      <c r="K31" s="30" t="s">
        <v>1853</v>
      </c>
      <c r="L31" s="30" t="s">
        <v>1854</v>
      </c>
      <c r="M31" s="22" t="s">
        <v>107</v>
      </c>
      <c r="N31" s="22" t="s">
        <v>374</v>
      </c>
      <c r="O31" s="30" t="s">
        <v>507</v>
      </c>
      <c r="P31" s="22" t="s">
        <v>835</v>
      </c>
      <c r="Q31" s="22" t="s">
        <v>374</v>
      </c>
      <c r="R31" s="22">
        <v>15</v>
      </c>
      <c r="S31" s="21">
        <v>32</v>
      </c>
      <c r="T31" s="22">
        <v>10</v>
      </c>
      <c r="U31" s="21">
        <v>90.7</v>
      </c>
      <c r="V31" s="21">
        <v>100</v>
      </c>
      <c r="W31" s="48">
        <v>95.35</v>
      </c>
      <c r="X31" s="48">
        <v>100</v>
      </c>
      <c r="Y31" s="94">
        <v>100</v>
      </c>
      <c r="Z31" s="116">
        <v>0</v>
      </c>
      <c r="AA31" s="87">
        <v>794100000</v>
      </c>
      <c r="AB31" s="29">
        <v>235167400</v>
      </c>
      <c r="AC31" s="29">
        <v>162584439</v>
      </c>
      <c r="AD31" s="29">
        <v>0</v>
      </c>
      <c r="AE31" s="29">
        <f t="shared" si="0"/>
        <v>1191851839</v>
      </c>
      <c r="AF31" s="30" t="s">
        <v>1140</v>
      </c>
    </row>
    <row r="32" spans="1:32" ht="55.2" x14ac:dyDescent="0.3">
      <c r="A32" s="148"/>
      <c r="B32" s="159">
        <v>0</v>
      </c>
      <c r="C32" s="148"/>
      <c r="D32" s="160">
        <v>0</v>
      </c>
      <c r="E32" s="75">
        <v>0</v>
      </c>
      <c r="F32" s="75">
        <v>0</v>
      </c>
      <c r="G32" s="74">
        <v>0</v>
      </c>
      <c r="H32" s="75">
        <f>24.756-20</f>
        <v>4.7560000000000002</v>
      </c>
      <c r="I32" s="75">
        <v>6.1890000000000001</v>
      </c>
      <c r="J32" s="73">
        <v>53010040003</v>
      </c>
      <c r="K32" s="30" t="s">
        <v>1855</v>
      </c>
      <c r="L32" s="30" t="s">
        <v>1856</v>
      </c>
      <c r="M32" s="22" t="s">
        <v>107</v>
      </c>
      <c r="N32" s="22" t="s">
        <v>373</v>
      </c>
      <c r="O32" s="73" t="s">
        <v>381</v>
      </c>
      <c r="P32" s="22" t="s">
        <v>836</v>
      </c>
      <c r="Q32" s="22" t="s">
        <v>373</v>
      </c>
      <c r="R32" s="22">
        <v>15</v>
      </c>
      <c r="S32" s="21">
        <v>32</v>
      </c>
      <c r="T32" s="22">
        <v>10</v>
      </c>
      <c r="U32" s="21">
        <v>0</v>
      </c>
      <c r="V32" s="21">
        <v>1</v>
      </c>
      <c r="W32" s="21">
        <v>0</v>
      </c>
      <c r="X32" s="21">
        <v>0</v>
      </c>
      <c r="Y32" s="94">
        <v>0</v>
      </c>
      <c r="Z32" s="116">
        <v>1</v>
      </c>
      <c r="AA32" s="87">
        <v>0</v>
      </c>
      <c r="AB32" s="29">
        <v>0</v>
      </c>
      <c r="AC32" s="29">
        <v>0</v>
      </c>
      <c r="AD32" s="29">
        <v>21440000</v>
      </c>
      <c r="AE32" s="29">
        <f t="shared" si="0"/>
        <v>21440000</v>
      </c>
      <c r="AF32" s="30" t="s">
        <v>364</v>
      </c>
    </row>
    <row r="33" spans="1:32" ht="55.2" x14ac:dyDescent="0.3">
      <c r="A33" s="148"/>
      <c r="B33" s="159">
        <v>0</v>
      </c>
      <c r="C33" s="148"/>
      <c r="D33" s="160">
        <v>0</v>
      </c>
      <c r="E33" s="75">
        <v>0</v>
      </c>
      <c r="F33" s="75">
        <v>7.8890000000000002</v>
      </c>
      <c r="G33" s="74">
        <v>9.6440000000000001</v>
      </c>
      <c r="H33" s="75">
        <v>8.3129999999999988</v>
      </c>
      <c r="I33" s="75">
        <v>6.4619999999999997</v>
      </c>
      <c r="J33" s="73">
        <v>53010040004</v>
      </c>
      <c r="K33" s="30" t="s">
        <v>1857</v>
      </c>
      <c r="L33" s="30" t="s">
        <v>1858</v>
      </c>
      <c r="M33" s="22" t="s">
        <v>107</v>
      </c>
      <c r="N33" s="22" t="s">
        <v>373</v>
      </c>
      <c r="O33" s="73" t="s">
        <v>837</v>
      </c>
      <c r="P33" s="22" t="s">
        <v>838</v>
      </c>
      <c r="Q33" s="22" t="s">
        <v>373</v>
      </c>
      <c r="R33" s="22">
        <v>8</v>
      </c>
      <c r="S33" s="21">
        <v>35</v>
      </c>
      <c r="T33" s="22">
        <v>13</v>
      </c>
      <c r="U33" s="21">
        <v>0</v>
      </c>
      <c r="V33" s="21">
        <v>1</v>
      </c>
      <c r="W33" s="21">
        <v>0</v>
      </c>
      <c r="X33" s="33">
        <v>0.25</v>
      </c>
      <c r="Y33" s="102">
        <v>0.5</v>
      </c>
      <c r="Z33" s="123">
        <v>1</v>
      </c>
      <c r="AA33" s="87">
        <v>0</v>
      </c>
      <c r="AB33" s="29">
        <v>80000000</v>
      </c>
      <c r="AC33" s="29">
        <v>62467440</v>
      </c>
      <c r="AD33" s="29">
        <v>93898000</v>
      </c>
      <c r="AE33" s="29">
        <f t="shared" si="0"/>
        <v>236365440</v>
      </c>
      <c r="AF33" s="30" t="s">
        <v>357</v>
      </c>
    </row>
    <row r="34" spans="1:32" ht="82.8" x14ac:dyDescent="0.3">
      <c r="A34" s="148"/>
      <c r="B34" s="159">
        <v>0</v>
      </c>
      <c r="C34" s="148"/>
      <c r="D34" s="160">
        <v>0</v>
      </c>
      <c r="E34" s="75">
        <v>15.917</v>
      </c>
      <c r="F34" s="75">
        <f>19.683+3.361-3.361</f>
        <v>19.683</v>
      </c>
      <c r="G34" s="74">
        <f>21.953-4+3</f>
        <v>20.952999999999999</v>
      </c>
      <c r="H34" s="75">
        <f>26.899-3-3</f>
        <v>20.899000000000001</v>
      </c>
      <c r="I34" s="75">
        <v>21.113</v>
      </c>
      <c r="J34" s="73">
        <v>53010040005</v>
      </c>
      <c r="K34" s="30" t="s">
        <v>1859</v>
      </c>
      <c r="L34" s="30" t="s">
        <v>1860</v>
      </c>
      <c r="M34" s="22" t="s">
        <v>144</v>
      </c>
      <c r="N34" s="22" t="s">
        <v>373</v>
      </c>
      <c r="O34" s="73" t="s">
        <v>381</v>
      </c>
      <c r="P34" s="22" t="s">
        <v>839</v>
      </c>
      <c r="Q34" s="22" t="s">
        <v>373</v>
      </c>
      <c r="R34" s="22">
        <v>4</v>
      </c>
      <c r="S34" s="21">
        <v>32</v>
      </c>
      <c r="T34" s="22">
        <v>10</v>
      </c>
      <c r="U34" s="21">
        <v>13</v>
      </c>
      <c r="V34" s="21">
        <v>14</v>
      </c>
      <c r="W34" s="21">
        <v>14</v>
      </c>
      <c r="X34" s="21">
        <v>14</v>
      </c>
      <c r="Y34" s="94">
        <v>14</v>
      </c>
      <c r="Z34" s="116">
        <v>14</v>
      </c>
      <c r="AA34" s="87">
        <v>100000000</v>
      </c>
      <c r="AB34" s="29">
        <v>487200000</v>
      </c>
      <c r="AC34" s="29">
        <v>679458000</v>
      </c>
      <c r="AD34" s="29">
        <v>532200000</v>
      </c>
      <c r="AE34" s="29">
        <f t="shared" si="0"/>
        <v>1798858000</v>
      </c>
      <c r="AF34" s="30" t="s">
        <v>358</v>
      </c>
    </row>
    <row r="35" spans="1:32" ht="41.4" x14ac:dyDescent="0.3">
      <c r="A35" s="148"/>
      <c r="B35" s="159">
        <v>0</v>
      </c>
      <c r="C35" s="148"/>
      <c r="D35" s="160">
        <v>0</v>
      </c>
      <c r="E35" s="75">
        <v>26.602999999999998</v>
      </c>
      <c r="F35" s="75">
        <f>18.267+3</f>
        <v>21.266999999999999</v>
      </c>
      <c r="G35" s="74">
        <f>19.526+4</f>
        <v>23.526</v>
      </c>
      <c r="H35" s="75">
        <f>24.529+8.627+3</f>
        <v>36.155999999999999</v>
      </c>
      <c r="I35" s="75">
        <v>22.231000000000002</v>
      </c>
      <c r="J35" s="73">
        <v>53010040006</v>
      </c>
      <c r="K35" s="30" t="s">
        <v>1861</v>
      </c>
      <c r="L35" s="30" t="s">
        <v>1862</v>
      </c>
      <c r="M35" s="22" t="s">
        <v>144</v>
      </c>
      <c r="N35" s="22" t="s">
        <v>375</v>
      </c>
      <c r="O35" s="73" t="s">
        <v>381</v>
      </c>
      <c r="P35" s="22" t="s">
        <v>840</v>
      </c>
      <c r="Q35" s="22" t="s">
        <v>375</v>
      </c>
      <c r="R35" s="22">
        <v>11</v>
      </c>
      <c r="S35" s="21">
        <v>24</v>
      </c>
      <c r="T35" s="22">
        <v>9</v>
      </c>
      <c r="U35" s="21">
        <v>250</v>
      </c>
      <c r="V35" s="21">
        <v>250</v>
      </c>
      <c r="W35" s="21">
        <v>250</v>
      </c>
      <c r="X35" s="21">
        <v>250</v>
      </c>
      <c r="Y35" s="94">
        <v>250</v>
      </c>
      <c r="Z35" s="116">
        <v>250</v>
      </c>
      <c r="AA35" s="87">
        <v>736869600</v>
      </c>
      <c r="AB35" s="29">
        <v>919613268</v>
      </c>
      <c r="AC35" s="29">
        <v>1015488000</v>
      </c>
      <c r="AD35" s="29">
        <v>2236785196</v>
      </c>
      <c r="AE35" s="29">
        <f t="shared" si="0"/>
        <v>4908756064</v>
      </c>
      <c r="AF35" s="30" t="s">
        <v>1142</v>
      </c>
    </row>
    <row r="36" spans="1:32" ht="41.4" x14ac:dyDescent="0.3">
      <c r="A36" s="148"/>
      <c r="B36" s="159">
        <v>0</v>
      </c>
      <c r="C36" s="148"/>
      <c r="D36" s="160">
        <v>0</v>
      </c>
      <c r="E36" s="75">
        <v>13.769</v>
      </c>
      <c r="F36" s="75">
        <f>7.083-7.083+3.361+6</f>
        <v>9.3610000000000007</v>
      </c>
      <c r="G36" s="74">
        <f>10.211-3.211-3-4</f>
        <v>0</v>
      </c>
      <c r="H36" s="75">
        <f>8.627-8.627</f>
        <v>0</v>
      </c>
      <c r="I36" s="75">
        <v>9.9220000000000006</v>
      </c>
      <c r="J36" s="73">
        <v>53010040007</v>
      </c>
      <c r="K36" s="30" t="s">
        <v>1863</v>
      </c>
      <c r="L36" s="30" t="s">
        <v>1864</v>
      </c>
      <c r="M36" s="22" t="s">
        <v>107</v>
      </c>
      <c r="N36" s="22" t="s">
        <v>374</v>
      </c>
      <c r="O36" s="73" t="s">
        <v>381</v>
      </c>
      <c r="P36" s="22" t="s">
        <v>841</v>
      </c>
      <c r="Q36" s="22" t="s">
        <v>374</v>
      </c>
      <c r="R36" s="22">
        <v>4</v>
      </c>
      <c r="S36" s="21">
        <v>32</v>
      </c>
      <c r="T36" s="22">
        <v>10</v>
      </c>
      <c r="U36" s="21">
        <v>0</v>
      </c>
      <c r="V36" s="21">
        <v>100</v>
      </c>
      <c r="W36" s="21">
        <v>10</v>
      </c>
      <c r="X36" s="21">
        <v>45</v>
      </c>
      <c r="Y36" s="94">
        <v>0</v>
      </c>
      <c r="Z36" s="116">
        <v>0</v>
      </c>
      <c r="AA36" s="87">
        <v>13000000</v>
      </c>
      <c r="AB36" s="29">
        <v>134391816</v>
      </c>
      <c r="AC36" s="29">
        <v>0</v>
      </c>
      <c r="AD36" s="21">
        <v>0</v>
      </c>
      <c r="AE36" s="29">
        <f t="shared" si="0"/>
        <v>147391816</v>
      </c>
      <c r="AF36" s="30" t="s">
        <v>358</v>
      </c>
    </row>
    <row r="37" spans="1:32" ht="55.2" x14ac:dyDescent="0.3">
      <c r="A37" s="148"/>
      <c r="B37" s="159">
        <v>0</v>
      </c>
      <c r="C37" s="148"/>
      <c r="D37" s="160">
        <v>0</v>
      </c>
      <c r="E37" s="75">
        <v>14.722</v>
      </c>
      <c r="F37" s="75">
        <f>6.361-3.361-3</f>
        <v>0</v>
      </c>
      <c r="G37" s="74">
        <f>9.404-9.404</f>
        <v>0</v>
      </c>
      <c r="H37" s="75">
        <f>6.876-6.876</f>
        <v>0</v>
      </c>
      <c r="I37" s="75">
        <v>9.34</v>
      </c>
      <c r="J37" s="73">
        <v>53010040008</v>
      </c>
      <c r="K37" s="30" t="s">
        <v>1865</v>
      </c>
      <c r="L37" s="30" t="s">
        <v>1866</v>
      </c>
      <c r="M37" s="22" t="s">
        <v>107</v>
      </c>
      <c r="N37" s="22" t="s">
        <v>373</v>
      </c>
      <c r="O37" s="73" t="s">
        <v>381</v>
      </c>
      <c r="P37" s="22" t="s">
        <v>842</v>
      </c>
      <c r="Q37" s="22" t="s">
        <v>373</v>
      </c>
      <c r="R37" s="22">
        <v>2</v>
      </c>
      <c r="S37" s="21">
        <v>32</v>
      </c>
      <c r="T37" s="22">
        <v>1</v>
      </c>
      <c r="U37" s="21">
        <v>0</v>
      </c>
      <c r="V37" s="21">
        <v>1</v>
      </c>
      <c r="W37" s="48">
        <v>0.1</v>
      </c>
      <c r="X37" s="48">
        <v>0</v>
      </c>
      <c r="Y37" s="102">
        <v>0</v>
      </c>
      <c r="Z37" s="116">
        <v>0</v>
      </c>
      <c r="AA37" s="87">
        <v>46000000</v>
      </c>
      <c r="AB37" s="29">
        <v>0</v>
      </c>
      <c r="AC37" s="29">
        <v>0</v>
      </c>
      <c r="AD37" s="21">
        <v>0</v>
      </c>
      <c r="AE37" s="29">
        <f t="shared" si="0"/>
        <v>46000000</v>
      </c>
      <c r="AF37" s="30" t="s">
        <v>358</v>
      </c>
    </row>
    <row r="38" spans="1:32" x14ac:dyDescent="0.3">
      <c r="A38" s="24"/>
      <c r="B38" s="38"/>
      <c r="C38" s="24"/>
      <c r="D38" s="39"/>
      <c r="E38" s="35"/>
      <c r="F38" s="35"/>
      <c r="G38" s="35"/>
      <c r="H38" s="35"/>
      <c r="I38" s="35"/>
      <c r="J38" s="24"/>
      <c r="K38" s="40"/>
      <c r="L38" s="40"/>
      <c r="M38" s="41"/>
      <c r="N38" s="41"/>
      <c r="O38" s="24"/>
      <c r="P38" s="41"/>
      <c r="Q38" s="41"/>
      <c r="R38" s="41"/>
      <c r="S38" s="52"/>
      <c r="T38" s="41"/>
      <c r="U38" s="52"/>
      <c r="V38" s="52"/>
      <c r="W38" s="63"/>
      <c r="X38" s="63"/>
      <c r="Y38" s="63"/>
      <c r="Z38" s="124"/>
      <c r="AA38" s="53"/>
      <c r="AB38" s="53"/>
      <c r="AC38" s="53"/>
      <c r="AD38" s="52"/>
      <c r="AE38" s="53"/>
      <c r="AF38" s="40"/>
    </row>
    <row r="39" spans="1:32" ht="51" customHeight="1" x14ac:dyDescent="0.3">
      <c r="A39" s="148" t="s">
        <v>1867</v>
      </c>
      <c r="B39" s="159">
        <v>13.065</v>
      </c>
      <c r="C39" s="148" t="s">
        <v>1868</v>
      </c>
      <c r="D39" s="160">
        <v>35.710999999999999</v>
      </c>
      <c r="E39" s="75">
        <v>0</v>
      </c>
      <c r="F39" s="75">
        <v>11.873000000000001</v>
      </c>
      <c r="G39" s="74">
        <f>7.015-7.015</f>
        <v>0</v>
      </c>
      <c r="H39" s="75">
        <f>9.222-3-2</f>
        <v>4.2219999999999995</v>
      </c>
      <c r="I39" s="75">
        <v>7.0279999999999996</v>
      </c>
      <c r="J39" s="73">
        <v>53020010001</v>
      </c>
      <c r="K39" s="30" t="s">
        <v>1869</v>
      </c>
      <c r="L39" s="30" t="s">
        <v>1870</v>
      </c>
      <c r="M39" s="22" t="s">
        <v>107</v>
      </c>
      <c r="N39" s="22" t="s">
        <v>373</v>
      </c>
      <c r="O39" s="73" t="s">
        <v>843</v>
      </c>
      <c r="P39" s="22" t="s">
        <v>844</v>
      </c>
      <c r="Q39" s="22" t="s">
        <v>373</v>
      </c>
      <c r="R39" s="22">
        <v>12</v>
      </c>
      <c r="S39" s="21">
        <v>32</v>
      </c>
      <c r="T39" s="22">
        <v>10</v>
      </c>
      <c r="U39" s="21">
        <v>0</v>
      </c>
      <c r="V39" s="21">
        <v>1</v>
      </c>
      <c r="W39" s="21">
        <v>0</v>
      </c>
      <c r="X39" s="33">
        <v>0.3</v>
      </c>
      <c r="Y39" s="103">
        <v>0</v>
      </c>
      <c r="Z39" s="121">
        <v>1</v>
      </c>
      <c r="AA39" s="111">
        <v>0</v>
      </c>
      <c r="AB39" s="29">
        <v>525000000</v>
      </c>
      <c r="AC39" s="29">
        <v>0</v>
      </c>
      <c r="AD39" s="52">
        <v>177370000</v>
      </c>
      <c r="AE39" s="29">
        <f>SUM(AA39:AD39)</f>
        <v>702370000</v>
      </c>
      <c r="AF39" s="30" t="s">
        <v>359</v>
      </c>
    </row>
    <row r="40" spans="1:32" ht="82.8" x14ac:dyDescent="0.3">
      <c r="A40" s="148"/>
      <c r="B40" s="159">
        <v>0</v>
      </c>
      <c r="C40" s="148"/>
      <c r="D40" s="160">
        <v>0</v>
      </c>
      <c r="E40" s="75">
        <v>7.8009999999999993</v>
      </c>
      <c r="F40" s="75">
        <v>4.6050000000000004</v>
      </c>
      <c r="G40" s="74">
        <f>5.673</f>
        <v>5.673</v>
      </c>
      <c r="H40" s="75">
        <v>4.6670000000000007</v>
      </c>
      <c r="I40" s="75">
        <v>5.6950000000000003</v>
      </c>
      <c r="J40" s="73">
        <v>53020010002</v>
      </c>
      <c r="K40" s="30" t="s">
        <v>1871</v>
      </c>
      <c r="L40" s="30" t="s">
        <v>1872</v>
      </c>
      <c r="M40" s="22" t="s">
        <v>107</v>
      </c>
      <c r="N40" s="22" t="s">
        <v>373</v>
      </c>
      <c r="O40" s="73" t="s">
        <v>381</v>
      </c>
      <c r="P40" s="22" t="s">
        <v>845</v>
      </c>
      <c r="Q40" s="22" t="s">
        <v>373</v>
      </c>
      <c r="R40" s="22">
        <v>8</v>
      </c>
      <c r="S40" s="21">
        <v>32</v>
      </c>
      <c r="T40" s="22">
        <v>10</v>
      </c>
      <c r="U40" s="21">
        <v>5</v>
      </c>
      <c r="V40" s="21">
        <v>95</v>
      </c>
      <c r="W40" s="21">
        <v>15</v>
      </c>
      <c r="X40" s="48">
        <v>37</v>
      </c>
      <c r="Y40" s="102">
        <v>72</v>
      </c>
      <c r="Z40" s="116">
        <v>95</v>
      </c>
      <c r="AA40" s="87">
        <v>500000000</v>
      </c>
      <c r="AB40" s="29">
        <v>569608827</v>
      </c>
      <c r="AC40" s="29">
        <v>462041000</v>
      </c>
      <c r="AD40" s="53">
        <v>323367300</v>
      </c>
      <c r="AE40" s="29">
        <f t="shared" ref="AE40:AE77" si="1">SUM(AA40:AD40)</f>
        <v>1855017127</v>
      </c>
      <c r="AF40" s="30" t="s">
        <v>359</v>
      </c>
    </row>
    <row r="41" spans="1:32" ht="138" x14ac:dyDescent="0.3">
      <c r="A41" s="148"/>
      <c r="B41" s="159">
        <v>0</v>
      </c>
      <c r="C41" s="148"/>
      <c r="D41" s="160">
        <v>0</v>
      </c>
      <c r="E41" s="75">
        <v>6.234</v>
      </c>
      <c r="F41" s="75">
        <f>13.148-3.148-7-3</f>
        <v>0</v>
      </c>
      <c r="G41" s="74">
        <f>6.138-6.138</f>
        <v>0</v>
      </c>
      <c r="H41" s="75">
        <v>10.603999999999999</v>
      </c>
      <c r="I41" s="75">
        <v>7.4730000000000008</v>
      </c>
      <c r="J41" s="73">
        <v>53020010003</v>
      </c>
      <c r="K41" s="30" t="s">
        <v>1873</v>
      </c>
      <c r="L41" s="30" t="s">
        <v>1874</v>
      </c>
      <c r="M41" s="22" t="s">
        <v>107</v>
      </c>
      <c r="N41" s="22" t="s">
        <v>373</v>
      </c>
      <c r="O41" s="73" t="s">
        <v>846</v>
      </c>
      <c r="P41" s="22" t="s">
        <v>2155</v>
      </c>
      <c r="Q41" s="22" t="s">
        <v>373</v>
      </c>
      <c r="R41" s="22">
        <v>8</v>
      </c>
      <c r="S41" s="21">
        <v>40</v>
      </c>
      <c r="T41" s="22">
        <v>3</v>
      </c>
      <c r="U41" s="21">
        <v>0</v>
      </c>
      <c r="V41" s="21">
        <v>2</v>
      </c>
      <c r="W41" s="48">
        <v>0.1</v>
      </c>
      <c r="X41" s="21">
        <v>0</v>
      </c>
      <c r="Y41" s="102">
        <v>0</v>
      </c>
      <c r="Z41" s="121">
        <v>2</v>
      </c>
      <c r="AA41" s="87">
        <v>220000000</v>
      </c>
      <c r="AB41" s="29">
        <v>0</v>
      </c>
      <c r="AC41" s="29">
        <v>0</v>
      </c>
      <c r="AD41" s="53">
        <v>2000000000</v>
      </c>
      <c r="AE41" s="29">
        <f t="shared" si="1"/>
        <v>2220000000</v>
      </c>
      <c r="AF41" s="30" t="s">
        <v>359</v>
      </c>
    </row>
    <row r="42" spans="1:32" ht="69" x14ac:dyDescent="0.3">
      <c r="A42" s="148"/>
      <c r="B42" s="159">
        <v>0</v>
      </c>
      <c r="C42" s="148"/>
      <c r="D42" s="160">
        <v>0</v>
      </c>
      <c r="E42" s="75">
        <v>8.8819999999999997</v>
      </c>
      <c r="F42" s="75">
        <f>8.499+3</f>
        <v>11.499000000000001</v>
      </c>
      <c r="G42" s="74">
        <f>5.261+2+2</f>
        <v>9.2609999999999992</v>
      </c>
      <c r="H42" s="75">
        <f>6.916+3</f>
        <v>9.9160000000000004</v>
      </c>
      <c r="I42" s="75">
        <v>7.6579999999999995</v>
      </c>
      <c r="J42" s="73">
        <v>53020010004</v>
      </c>
      <c r="K42" s="30" t="s">
        <v>1875</v>
      </c>
      <c r="L42" s="30" t="s">
        <v>1876</v>
      </c>
      <c r="M42" s="22" t="s">
        <v>107</v>
      </c>
      <c r="N42" s="22" t="s">
        <v>373</v>
      </c>
      <c r="O42" s="73" t="s">
        <v>381</v>
      </c>
      <c r="P42" s="22" t="s">
        <v>847</v>
      </c>
      <c r="Q42" s="22" t="s">
        <v>373</v>
      </c>
      <c r="R42" s="22">
        <v>12</v>
      </c>
      <c r="S42" s="21">
        <v>40</v>
      </c>
      <c r="T42" s="22">
        <v>3</v>
      </c>
      <c r="U42" s="21">
        <v>3</v>
      </c>
      <c r="V42" s="21">
        <v>100</v>
      </c>
      <c r="W42" s="21">
        <v>10</v>
      </c>
      <c r="X42" s="48">
        <v>35</v>
      </c>
      <c r="Y42" s="102">
        <v>80</v>
      </c>
      <c r="Z42" s="116">
        <v>100</v>
      </c>
      <c r="AA42" s="87">
        <v>1050000000</v>
      </c>
      <c r="AB42" s="29">
        <v>1144424215</v>
      </c>
      <c r="AC42" s="29">
        <v>1431578540</v>
      </c>
      <c r="AD42" s="29">
        <v>1032323080</v>
      </c>
      <c r="AE42" s="29">
        <f t="shared" si="1"/>
        <v>4658325835</v>
      </c>
      <c r="AF42" s="30" t="s">
        <v>359</v>
      </c>
    </row>
    <row r="43" spans="1:32" ht="96.6" x14ac:dyDescent="0.3">
      <c r="A43" s="148"/>
      <c r="B43" s="159">
        <v>0</v>
      </c>
      <c r="C43" s="148"/>
      <c r="D43" s="160">
        <v>0</v>
      </c>
      <c r="E43" s="75">
        <v>17.09</v>
      </c>
      <c r="F43" s="75">
        <v>17.096</v>
      </c>
      <c r="G43" s="74">
        <f>27.429-3-4-2</f>
        <v>18.428999999999998</v>
      </c>
      <c r="H43" s="75">
        <v>20.202999999999999</v>
      </c>
      <c r="I43" s="75">
        <v>20.53</v>
      </c>
      <c r="J43" s="73">
        <v>53020010005</v>
      </c>
      <c r="K43" s="30" t="s">
        <v>1877</v>
      </c>
      <c r="L43" s="30" t="s">
        <v>1878</v>
      </c>
      <c r="M43" s="22" t="s">
        <v>107</v>
      </c>
      <c r="N43" s="22" t="s">
        <v>373</v>
      </c>
      <c r="O43" s="73" t="s">
        <v>381</v>
      </c>
      <c r="P43" s="22" t="s">
        <v>848</v>
      </c>
      <c r="Q43" s="22" t="s">
        <v>373</v>
      </c>
      <c r="R43" s="22">
        <v>12</v>
      </c>
      <c r="S43" s="21">
        <v>40</v>
      </c>
      <c r="T43" s="22">
        <v>3</v>
      </c>
      <c r="U43" s="21">
        <v>0</v>
      </c>
      <c r="V43" s="21">
        <v>1</v>
      </c>
      <c r="W43" s="21">
        <v>1</v>
      </c>
      <c r="X43" s="21">
        <v>1</v>
      </c>
      <c r="Y43" s="94">
        <v>1</v>
      </c>
      <c r="Z43" s="116">
        <v>1</v>
      </c>
      <c r="AA43" s="87">
        <v>4300000000</v>
      </c>
      <c r="AB43" s="29">
        <v>2079002748</v>
      </c>
      <c r="AC43" s="29">
        <v>2570874604</v>
      </c>
      <c r="AD43" s="29">
        <v>5641109360</v>
      </c>
      <c r="AE43" s="29">
        <f t="shared" si="1"/>
        <v>14590986712</v>
      </c>
      <c r="AF43" s="30" t="s">
        <v>359</v>
      </c>
    </row>
    <row r="44" spans="1:32" ht="69" x14ac:dyDescent="0.3">
      <c r="A44" s="148"/>
      <c r="B44" s="159">
        <v>0</v>
      </c>
      <c r="C44" s="148"/>
      <c r="D44" s="160">
        <v>0</v>
      </c>
      <c r="E44" s="75">
        <v>15.945</v>
      </c>
      <c r="F44" s="75">
        <v>13.281000000000001</v>
      </c>
      <c r="G44" s="74">
        <f>6.971+6.078</f>
        <v>13.048999999999999</v>
      </c>
      <c r="H44" s="75">
        <f>15.11+4.21+4.611</f>
        <v>23.931000000000001</v>
      </c>
      <c r="I44" s="75">
        <v>12.635999999999999</v>
      </c>
      <c r="J44" s="73">
        <v>53020010006</v>
      </c>
      <c r="K44" s="30" t="s">
        <v>1879</v>
      </c>
      <c r="L44" s="30" t="s">
        <v>1880</v>
      </c>
      <c r="M44" s="22" t="s">
        <v>144</v>
      </c>
      <c r="N44" s="22" t="s">
        <v>373</v>
      </c>
      <c r="O44" s="73" t="s">
        <v>381</v>
      </c>
      <c r="P44" s="22" t="s">
        <v>849</v>
      </c>
      <c r="Q44" s="22" t="s">
        <v>373</v>
      </c>
      <c r="R44" s="22">
        <v>11</v>
      </c>
      <c r="S44" s="21">
        <v>40</v>
      </c>
      <c r="T44" s="22">
        <v>3</v>
      </c>
      <c r="U44" s="21">
        <v>200</v>
      </c>
      <c r="V44" s="21">
        <v>200</v>
      </c>
      <c r="W44" s="21">
        <v>50</v>
      </c>
      <c r="X44" s="21">
        <v>100</v>
      </c>
      <c r="Y44" s="94">
        <v>150</v>
      </c>
      <c r="Z44" s="116">
        <v>200</v>
      </c>
      <c r="AA44" s="87">
        <v>3381698067</v>
      </c>
      <c r="AB44" s="29">
        <v>1331744808</v>
      </c>
      <c r="AC44" s="29">
        <v>2389120480</v>
      </c>
      <c r="AD44" s="29">
        <v>6446142985</v>
      </c>
      <c r="AE44" s="29">
        <f t="shared" si="1"/>
        <v>13548706340</v>
      </c>
      <c r="AF44" s="30" t="s">
        <v>359</v>
      </c>
    </row>
    <row r="45" spans="1:32" ht="41.4" x14ac:dyDescent="0.3">
      <c r="A45" s="148"/>
      <c r="B45" s="159">
        <v>0</v>
      </c>
      <c r="C45" s="148"/>
      <c r="D45" s="160">
        <v>0</v>
      </c>
      <c r="E45" s="75">
        <v>13.807</v>
      </c>
      <c r="F45" s="75">
        <f>10.207+7</f>
        <v>17.207000000000001</v>
      </c>
      <c r="G45" s="74">
        <f>6.149+7.015+6.138+3+2</f>
        <v>24.302</v>
      </c>
      <c r="H45" s="75">
        <f>10.06+2</f>
        <v>12.06</v>
      </c>
      <c r="I45" s="75">
        <v>10.108000000000001</v>
      </c>
      <c r="J45" s="73">
        <v>53020010007</v>
      </c>
      <c r="K45" s="30" t="s">
        <v>1881</v>
      </c>
      <c r="L45" s="30" t="s">
        <v>1882</v>
      </c>
      <c r="M45" s="22" t="s">
        <v>144</v>
      </c>
      <c r="N45" s="22" t="s">
        <v>379</v>
      </c>
      <c r="O45" s="73" t="s">
        <v>381</v>
      </c>
      <c r="P45" s="22" t="s">
        <v>850</v>
      </c>
      <c r="Q45" s="22" t="s">
        <v>379</v>
      </c>
      <c r="R45" s="22">
        <v>11</v>
      </c>
      <c r="S45" s="21">
        <v>32</v>
      </c>
      <c r="T45" s="22">
        <v>10</v>
      </c>
      <c r="U45" s="21">
        <v>68207</v>
      </c>
      <c r="V45" s="21">
        <v>236207</v>
      </c>
      <c r="W45" s="21">
        <v>76472</v>
      </c>
      <c r="X45" s="21">
        <v>126722</v>
      </c>
      <c r="Y45" s="94">
        <v>182717</v>
      </c>
      <c r="Z45" s="116">
        <v>236207</v>
      </c>
      <c r="AA45" s="87">
        <v>3000000000</v>
      </c>
      <c r="AB45" s="29">
        <v>2795472337</v>
      </c>
      <c r="AC45" s="29">
        <v>4721097448</v>
      </c>
      <c r="AD45" s="29">
        <v>2625279420</v>
      </c>
      <c r="AE45" s="29">
        <f t="shared" si="1"/>
        <v>13141849205</v>
      </c>
      <c r="AF45" s="30" t="s">
        <v>359</v>
      </c>
    </row>
    <row r="46" spans="1:32" ht="69" x14ac:dyDescent="0.3">
      <c r="A46" s="148"/>
      <c r="B46" s="159">
        <v>0</v>
      </c>
      <c r="C46" s="148"/>
      <c r="D46" s="160">
        <v>0</v>
      </c>
      <c r="E46" s="75">
        <v>5.2240000000000002</v>
      </c>
      <c r="F46" s="75">
        <f>4.178-4.178</f>
        <v>0</v>
      </c>
      <c r="G46" s="74">
        <f>7.077-2</f>
        <v>5.077</v>
      </c>
      <c r="H46" s="75">
        <f>4.21-4.21</f>
        <v>0</v>
      </c>
      <c r="I46" s="75">
        <v>5.673</v>
      </c>
      <c r="J46" s="73">
        <v>53020010008</v>
      </c>
      <c r="K46" s="30" t="s">
        <v>1883</v>
      </c>
      <c r="L46" s="30" t="s">
        <v>1884</v>
      </c>
      <c r="M46" s="22" t="s">
        <v>144</v>
      </c>
      <c r="N46" s="22" t="s">
        <v>373</v>
      </c>
      <c r="O46" s="73" t="s">
        <v>381</v>
      </c>
      <c r="P46" s="22" t="s">
        <v>851</v>
      </c>
      <c r="Q46" s="22" t="s">
        <v>373</v>
      </c>
      <c r="R46" s="22">
        <v>11</v>
      </c>
      <c r="S46" s="21">
        <v>32</v>
      </c>
      <c r="T46" s="22">
        <v>10</v>
      </c>
      <c r="U46" s="21">
        <v>1</v>
      </c>
      <c r="V46" s="21">
        <v>5</v>
      </c>
      <c r="W46" s="21">
        <v>2</v>
      </c>
      <c r="X46" s="21">
        <v>0</v>
      </c>
      <c r="Y46" s="94">
        <v>2</v>
      </c>
      <c r="Z46" s="116">
        <v>0</v>
      </c>
      <c r="AA46" s="87">
        <v>40000000</v>
      </c>
      <c r="AB46" s="29">
        <v>0</v>
      </c>
      <c r="AC46" s="29">
        <v>385825278</v>
      </c>
      <c r="AD46" s="29">
        <v>0</v>
      </c>
      <c r="AE46" s="29">
        <f t="shared" si="1"/>
        <v>425825278</v>
      </c>
      <c r="AF46" s="30" t="s">
        <v>359</v>
      </c>
    </row>
    <row r="47" spans="1:32" ht="110.4" x14ac:dyDescent="0.3">
      <c r="A47" s="148"/>
      <c r="B47" s="159">
        <v>0</v>
      </c>
      <c r="C47" s="148"/>
      <c r="D47" s="160">
        <v>0</v>
      </c>
      <c r="E47" s="75">
        <v>6.7830000000000004</v>
      </c>
      <c r="F47" s="75">
        <v>5.8889999999999993</v>
      </c>
      <c r="G47" s="74">
        <f>7.228-2</f>
        <v>5.2279999999999998</v>
      </c>
      <c r="H47" s="75">
        <v>5.3250000000000002</v>
      </c>
      <c r="I47" s="75">
        <v>6.5650000000000004</v>
      </c>
      <c r="J47" s="73">
        <v>53020010009</v>
      </c>
      <c r="K47" s="30" t="s">
        <v>1885</v>
      </c>
      <c r="L47" s="30" t="s">
        <v>1886</v>
      </c>
      <c r="M47" s="22" t="s">
        <v>144</v>
      </c>
      <c r="N47" s="22" t="s">
        <v>373</v>
      </c>
      <c r="O47" s="73" t="s">
        <v>381</v>
      </c>
      <c r="P47" s="22" t="s">
        <v>852</v>
      </c>
      <c r="Q47" s="22" t="s">
        <v>373</v>
      </c>
      <c r="R47" s="22">
        <v>12</v>
      </c>
      <c r="S47" s="21">
        <v>32</v>
      </c>
      <c r="T47" s="22">
        <v>10</v>
      </c>
      <c r="U47" s="21">
        <v>1000</v>
      </c>
      <c r="V47" s="21">
        <v>1500</v>
      </c>
      <c r="W47" s="21">
        <v>150</v>
      </c>
      <c r="X47" s="21">
        <v>1470</v>
      </c>
      <c r="Y47" s="94">
        <v>1820</v>
      </c>
      <c r="Z47" s="116">
        <v>1500</v>
      </c>
      <c r="AA47" s="87">
        <v>496837048</v>
      </c>
      <c r="AB47" s="29">
        <v>275000000</v>
      </c>
      <c r="AC47" s="29">
        <v>400000000</v>
      </c>
      <c r="AD47" s="29">
        <v>299590000</v>
      </c>
      <c r="AE47" s="29">
        <f t="shared" si="1"/>
        <v>1471427048</v>
      </c>
      <c r="AF47" s="30" t="s">
        <v>368</v>
      </c>
    </row>
    <row r="48" spans="1:32" ht="234.6" x14ac:dyDescent="0.3">
      <c r="A48" s="148"/>
      <c r="B48" s="159">
        <v>0</v>
      </c>
      <c r="C48" s="148"/>
      <c r="D48" s="160">
        <v>0</v>
      </c>
      <c r="E48" s="75">
        <v>18.234000000000002</v>
      </c>
      <c r="F48" s="75">
        <f>6.374+4.178+4.85+3.148</f>
        <v>18.55</v>
      </c>
      <c r="G48" s="74">
        <f>7.63+7.351+4</f>
        <v>18.981000000000002</v>
      </c>
      <c r="H48" s="75">
        <v>4.6109999999999998</v>
      </c>
      <c r="I48" s="75">
        <v>9.7970000000000006</v>
      </c>
      <c r="J48" s="73">
        <v>53020010010</v>
      </c>
      <c r="K48" s="30" t="s">
        <v>1887</v>
      </c>
      <c r="L48" s="30" t="s">
        <v>1888</v>
      </c>
      <c r="M48" s="22" t="s">
        <v>107</v>
      </c>
      <c r="N48" s="22" t="s">
        <v>373</v>
      </c>
      <c r="O48" s="73" t="s">
        <v>853</v>
      </c>
      <c r="P48" s="22" t="s">
        <v>854</v>
      </c>
      <c r="Q48" s="22" t="s">
        <v>373</v>
      </c>
      <c r="R48" s="22">
        <v>12</v>
      </c>
      <c r="S48" s="21">
        <v>40</v>
      </c>
      <c r="T48" s="22">
        <v>3</v>
      </c>
      <c r="U48" s="21">
        <v>3</v>
      </c>
      <c r="V48" s="21">
        <v>7</v>
      </c>
      <c r="W48" s="21">
        <v>4</v>
      </c>
      <c r="X48" s="21">
        <v>5</v>
      </c>
      <c r="Y48" s="94">
        <v>6</v>
      </c>
      <c r="Z48" s="116">
        <v>7</v>
      </c>
      <c r="AA48" s="105">
        <v>4861211469</v>
      </c>
      <c r="AB48" s="49">
        <v>4014640000</v>
      </c>
      <c r="AC48" s="49">
        <v>3090560780</v>
      </c>
      <c r="AD48" s="21">
        <v>347975000</v>
      </c>
      <c r="AE48" s="29">
        <f t="shared" si="1"/>
        <v>12314387249</v>
      </c>
      <c r="AF48" s="30" t="s">
        <v>363</v>
      </c>
    </row>
    <row r="49" spans="1:32" ht="55.2" x14ac:dyDescent="0.3">
      <c r="A49" s="148"/>
      <c r="B49" s="159">
        <v>0</v>
      </c>
      <c r="C49" s="148"/>
      <c r="D49" s="160">
        <v>0</v>
      </c>
      <c r="E49" s="75">
        <v>0</v>
      </c>
      <c r="F49" s="75">
        <f>4.85-4.85</f>
        <v>0</v>
      </c>
      <c r="G49" s="74">
        <f>7.351-7.351</f>
        <v>0</v>
      </c>
      <c r="H49" s="75">
        <v>4.4609999999999994</v>
      </c>
      <c r="I49" s="75">
        <v>4.165</v>
      </c>
      <c r="J49" s="73">
        <v>53020010011</v>
      </c>
      <c r="K49" s="30" t="s">
        <v>1889</v>
      </c>
      <c r="L49" s="30" t="s">
        <v>1890</v>
      </c>
      <c r="M49" s="22" t="s">
        <v>107</v>
      </c>
      <c r="N49" s="22" t="s">
        <v>373</v>
      </c>
      <c r="O49" s="73" t="s">
        <v>381</v>
      </c>
      <c r="P49" s="22" t="s">
        <v>855</v>
      </c>
      <c r="Q49" s="22" t="s">
        <v>373</v>
      </c>
      <c r="R49" s="22">
        <v>12</v>
      </c>
      <c r="S49" s="21">
        <v>40</v>
      </c>
      <c r="T49" s="22">
        <v>3</v>
      </c>
      <c r="U49" s="21">
        <v>200000</v>
      </c>
      <c r="V49" s="21">
        <v>450000</v>
      </c>
      <c r="W49" s="21">
        <v>0</v>
      </c>
      <c r="X49" s="21">
        <v>0</v>
      </c>
      <c r="Y49" s="94">
        <v>0</v>
      </c>
      <c r="Z49" s="116">
        <v>450000</v>
      </c>
      <c r="AA49" s="87">
        <v>0</v>
      </c>
      <c r="AB49" s="29">
        <v>0</v>
      </c>
      <c r="AC49" s="29">
        <v>0</v>
      </c>
      <c r="AD49" s="29">
        <v>732802780</v>
      </c>
      <c r="AE49" s="29">
        <f t="shared" si="1"/>
        <v>732802780</v>
      </c>
      <c r="AF49" s="30" t="s">
        <v>359</v>
      </c>
    </row>
    <row r="50" spans="1:32" ht="41.4" x14ac:dyDescent="0.3">
      <c r="A50" s="148"/>
      <c r="B50" s="159">
        <v>0</v>
      </c>
      <c r="C50" s="148"/>
      <c r="D50" s="160">
        <v>0</v>
      </c>
      <c r="E50" s="75">
        <v>0</v>
      </c>
      <c r="F50" s="75">
        <v>0</v>
      </c>
      <c r="G50" s="74">
        <f>6.078-6.078</f>
        <v>0</v>
      </c>
      <c r="H50" s="75">
        <f>4.611-4.611</f>
        <v>0</v>
      </c>
      <c r="I50" s="75">
        <v>2.6720000000000002</v>
      </c>
      <c r="J50" s="73">
        <v>53020010012</v>
      </c>
      <c r="K50" s="30" t="s">
        <v>1891</v>
      </c>
      <c r="L50" s="30" t="s">
        <v>1892</v>
      </c>
      <c r="M50" s="22" t="s">
        <v>107</v>
      </c>
      <c r="N50" s="22" t="s">
        <v>373</v>
      </c>
      <c r="O50" s="73" t="s">
        <v>381</v>
      </c>
      <c r="P50" s="22" t="s">
        <v>856</v>
      </c>
      <c r="Q50" s="22" t="s">
        <v>373</v>
      </c>
      <c r="R50" s="22">
        <v>11</v>
      </c>
      <c r="S50" s="21">
        <v>32</v>
      </c>
      <c r="T50" s="22">
        <v>10</v>
      </c>
      <c r="U50" s="21">
        <v>0</v>
      </c>
      <c r="V50" s="21">
        <v>1</v>
      </c>
      <c r="W50" s="21">
        <v>0</v>
      </c>
      <c r="X50" s="21">
        <v>0</v>
      </c>
      <c r="Y50" s="94">
        <v>0</v>
      </c>
      <c r="Z50" s="116">
        <v>0</v>
      </c>
      <c r="AA50" s="87">
        <v>0</v>
      </c>
      <c r="AB50" s="29">
        <v>0</v>
      </c>
      <c r="AC50" s="29">
        <v>0</v>
      </c>
      <c r="AD50" s="29">
        <v>0</v>
      </c>
      <c r="AE50" s="29">
        <f t="shared" si="1"/>
        <v>0</v>
      </c>
      <c r="AF50" s="30" t="s">
        <v>359</v>
      </c>
    </row>
    <row r="51" spans="1:32" ht="51" customHeight="1" x14ac:dyDescent="0.3">
      <c r="A51" s="148"/>
      <c r="B51" s="159">
        <v>0</v>
      </c>
      <c r="C51" s="148" t="s">
        <v>1893</v>
      </c>
      <c r="D51" s="160">
        <v>17.943000000000001</v>
      </c>
      <c r="E51" s="75">
        <v>0</v>
      </c>
      <c r="F51" s="75">
        <f>40.64+5.936</f>
        <v>46.576000000000001</v>
      </c>
      <c r="G51" s="75">
        <f>38.693+5.692</f>
        <v>44.384999999999998</v>
      </c>
      <c r="H51" s="75">
        <f>42.705-3+4</f>
        <v>43.704999999999998</v>
      </c>
      <c r="I51" s="75">
        <v>30.509999999999998</v>
      </c>
      <c r="J51" s="73">
        <v>53020020001</v>
      </c>
      <c r="K51" s="30" t="s">
        <v>1894</v>
      </c>
      <c r="L51" s="30" t="s">
        <v>1895</v>
      </c>
      <c r="M51" s="22" t="s">
        <v>107</v>
      </c>
      <c r="N51" s="22" t="s">
        <v>373</v>
      </c>
      <c r="O51" s="73" t="s">
        <v>441</v>
      </c>
      <c r="P51" s="22" t="s">
        <v>857</v>
      </c>
      <c r="Q51" s="22" t="s">
        <v>373</v>
      </c>
      <c r="R51" s="22">
        <v>8</v>
      </c>
      <c r="S51" s="21">
        <v>35</v>
      </c>
      <c r="T51" s="22">
        <v>13</v>
      </c>
      <c r="U51" s="21">
        <v>0</v>
      </c>
      <c r="V51" s="21">
        <v>200</v>
      </c>
      <c r="W51" s="21">
        <v>0</v>
      </c>
      <c r="X51" s="21">
        <v>77</v>
      </c>
      <c r="Y51" s="94">
        <v>109</v>
      </c>
      <c r="Z51" s="116">
        <v>200</v>
      </c>
      <c r="AA51" s="87">
        <v>0</v>
      </c>
      <c r="AB51" s="29">
        <v>1080000000</v>
      </c>
      <c r="AC51" s="29">
        <v>798750000</v>
      </c>
      <c r="AD51" s="49">
        <v>672321000</v>
      </c>
      <c r="AE51" s="29">
        <f t="shared" si="1"/>
        <v>2551071000</v>
      </c>
      <c r="AF51" s="30" t="s">
        <v>364</v>
      </c>
    </row>
    <row r="52" spans="1:32" ht="69" x14ac:dyDescent="0.3">
      <c r="A52" s="148"/>
      <c r="B52" s="159">
        <v>0</v>
      </c>
      <c r="C52" s="148"/>
      <c r="D52" s="160">
        <v>0</v>
      </c>
      <c r="E52" s="75">
        <v>56.759</v>
      </c>
      <c r="F52" s="75">
        <f>22.68+5</f>
        <v>27.68</v>
      </c>
      <c r="G52" s="75">
        <f>24.231+5</f>
        <v>29.231000000000002</v>
      </c>
      <c r="H52" s="75">
        <f>28.648-4+3</f>
        <v>27.648</v>
      </c>
      <c r="I52" s="75">
        <v>33.079000000000001</v>
      </c>
      <c r="J52" s="73">
        <v>53020020002</v>
      </c>
      <c r="K52" s="30" t="s">
        <v>1896</v>
      </c>
      <c r="L52" s="30" t="s">
        <v>1897</v>
      </c>
      <c r="M52" s="22" t="s">
        <v>107</v>
      </c>
      <c r="N52" s="22" t="s">
        <v>374</v>
      </c>
      <c r="O52" s="73" t="s">
        <v>858</v>
      </c>
      <c r="P52" s="22" t="s">
        <v>859</v>
      </c>
      <c r="Q52" s="22" t="s">
        <v>374</v>
      </c>
      <c r="R52" s="22">
        <v>8</v>
      </c>
      <c r="S52" s="21">
        <v>35</v>
      </c>
      <c r="T52" s="22">
        <v>13</v>
      </c>
      <c r="U52" s="21">
        <v>0</v>
      </c>
      <c r="V52" s="21">
        <v>100</v>
      </c>
      <c r="W52" s="21">
        <v>30</v>
      </c>
      <c r="X52" s="21">
        <v>60</v>
      </c>
      <c r="Y52" s="94">
        <v>80</v>
      </c>
      <c r="Z52" s="116">
        <v>100</v>
      </c>
      <c r="AA52" s="87">
        <v>998644772</v>
      </c>
      <c r="AB52" s="29">
        <v>350000000</v>
      </c>
      <c r="AC52" s="29">
        <v>350000000</v>
      </c>
      <c r="AD52" s="21">
        <v>122880000</v>
      </c>
      <c r="AE52" s="29">
        <f t="shared" si="1"/>
        <v>1821524772</v>
      </c>
      <c r="AF52" s="30" t="s">
        <v>364</v>
      </c>
    </row>
    <row r="53" spans="1:32" ht="96.6" x14ac:dyDescent="0.3">
      <c r="A53" s="148"/>
      <c r="B53" s="159">
        <v>0</v>
      </c>
      <c r="C53" s="148"/>
      <c r="D53" s="160">
        <v>0</v>
      </c>
      <c r="E53" s="75">
        <v>0</v>
      </c>
      <c r="F53" s="75">
        <f>15.936-5-5-5.936</f>
        <v>0</v>
      </c>
      <c r="G53" s="75">
        <f>15.692-5.692-5-5</f>
        <v>0</v>
      </c>
      <c r="H53" s="75">
        <f>0+3+4+4</f>
        <v>11</v>
      </c>
      <c r="I53" s="75">
        <v>7.907</v>
      </c>
      <c r="J53" s="73">
        <v>53020020003</v>
      </c>
      <c r="K53" s="30" t="s">
        <v>1898</v>
      </c>
      <c r="L53" s="30" t="s">
        <v>1899</v>
      </c>
      <c r="M53" s="22" t="s">
        <v>107</v>
      </c>
      <c r="N53" s="22" t="s">
        <v>373</v>
      </c>
      <c r="O53" s="73" t="s">
        <v>860</v>
      </c>
      <c r="P53" s="22" t="s">
        <v>861</v>
      </c>
      <c r="Q53" s="22" t="s">
        <v>373</v>
      </c>
      <c r="R53" s="22">
        <v>12</v>
      </c>
      <c r="S53" s="21">
        <v>40</v>
      </c>
      <c r="T53" s="22">
        <v>6</v>
      </c>
      <c r="U53" s="21">
        <v>0</v>
      </c>
      <c r="V53" s="21">
        <v>3</v>
      </c>
      <c r="W53" s="21">
        <v>0</v>
      </c>
      <c r="X53" s="21">
        <v>0</v>
      </c>
      <c r="Y53" s="94">
        <v>0</v>
      </c>
      <c r="Z53" s="116">
        <v>3</v>
      </c>
      <c r="AA53" s="87">
        <v>0</v>
      </c>
      <c r="AB53" s="29">
        <v>0</v>
      </c>
      <c r="AC53" s="29">
        <v>0</v>
      </c>
      <c r="AD53" s="29">
        <v>50540000</v>
      </c>
      <c r="AE53" s="29">
        <f t="shared" si="1"/>
        <v>50540000</v>
      </c>
      <c r="AF53" s="30" t="s">
        <v>364</v>
      </c>
    </row>
    <row r="54" spans="1:32" ht="124.2" x14ac:dyDescent="0.3">
      <c r="A54" s="148"/>
      <c r="B54" s="159">
        <v>0</v>
      </c>
      <c r="C54" s="148"/>
      <c r="D54" s="160">
        <v>0</v>
      </c>
      <c r="E54" s="75">
        <v>43.241</v>
      </c>
      <c r="F54" s="75">
        <f>20.744+5</f>
        <v>25.744</v>
      </c>
      <c r="G54" s="75">
        <f>21.384+5</f>
        <v>26.384</v>
      </c>
      <c r="H54" s="75">
        <f>28.647-4-4-3</f>
        <v>17.646999999999998</v>
      </c>
      <c r="I54" s="75">
        <v>28.504000000000001</v>
      </c>
      <c r="J54" s="73">
        <v>53020020004</v>
      </c>
      <c r="K54" s="30" t="s">
        <v>1900</v>
      </c>
      <c r="L54" s="30" t="s">
        <v>1901</v>
      </c>
      <c r="M54" s="22" t="s">
        <v>107</v>
      </c>
      <c r="N54" s="22" t="s">
        <v>374</v>
      </c>
      <c r="O54" s="73" t="s">
        <v>862</v>
      </c>
      <c r="P54" s="22" t="s">
        <v>863</v>
      </c>
      <c r="Q54" s="22" t="s">
        <v>373</v>
      </c>
      <c r="R54" s="22">
        <v>8</v>
      </c>
      <c r="S54" s="21">
        <v>35</v>
      </c>
      <c r="T54" s="22">
        <v>6</v>
      </c>
      <c r="U54" s="21">
        <v>0</v>
      </c>
      <c r="V54" s="21">
        <v>100</v>
      </c>
      <c r="W54" s="21">
        <v>28</v>
      </c>
      <c r="X54" s="21">
        <v>34</v>
      </c>
      <c r="Y54" s="94">
        <v>43</v>
      </c>
      <c r="Z54" s="116">
        <v>100</v>
      </c>
      <c r="AA54" s="87">
        <v>152411444</v>
      </c>
      <c r="AB54" s="29">
        <v>200000000</v>
      </c>
      <c r="AC54" s="29">
        <v>100000000</v>
      </c>
      <c r="AD54" s="29">
        <v>77420000</v>
      </c>
      <c r="AE54" s="29">
        <f t="shared" si="1"/>
        <v>529831444</v>
      </c>
      <c r="AF54" s="30" t="s">
        <v>364</v>
      </c>
    </row>
    <row r="55" spans="1:32" ht="51" customHeight="1" x14ac:dyDescent="0.3">
      <c r="A55" s="148"/>
      <c r="B55" s="159">
        <v>0</v>
      </c>
      <c r="C55" s="148" t="s">
        <v>1902</v>
      </c>
      <c r="D55" s="160">
        <v>16.778000000000002</v>
      </c>
      <c r="E55" s="75">
        <v>0</v>
      </c>
      <c r="F55" s="75">
        <f>9.732-9.732</f>
        <v>0</v>
      </c>
      <c r="G55" s="74">
        <f>13.118</f>
        <v>13.118</v>
      </c>
      <c r="H55" s="75">
        <v>8.2249999999999996</v>
      </c>
      <c r="I55" s="75">
        <v>7.7690000000000001</v>
      </c>
      <c r="J55" s="73">
        <v>53020030001</v>
      </c>
      <c r="K55" s="30" t="s">
        <v>1903</v>
      </c>
      <c r="L55" s="30" t="s">
        <v>1904</v>
      </c>
      <c r="M55" s="22" t="s">
        <v>107</v>
      </c>
      <c r="N55" s="22" t="s">
        <v>373</v>
      </c>
      <c r="O55" s="73" t="s">
        <v>381</v>
      </c>
      <c r="P55" s="22" t="s">
        <v>864</v>
      </c>
      <c r="Q55" s="22" t="s">
        <v>373</v>
      </c>
      <c r="R55" s="22">
        <v>12</v>
      </c>
      <c r="S55" s="21">
        <v>35</v>
      </c>
      <c r="T55" s="22">
        <v>13</v>
      </c>
      <c r="U55" s="21">
        <v>0</v>
      </c>
      <c r="V55" s="21">
        <v>4</v>
      </c>
      <c r="W55" s="21">
        <v>0</v>
      </c>
      <c r="X55" s="21">
        <v>0</v>
      </c>
      <c r="Y55" s="94">
        <v>2</v>
      </c>
      <c r="Z55" s="116">
        <v>4</v>
      </c>
      <c r="AA55" s="87">
        <v>0</v>
      </c>
      <c r="AB55" s="29">
        <v>0</v>
      </c>
      <c r="AC55" s="29">
        <v>100000000</v>
      </c>
      <c r="AD55" s="29">
        <v>105270000</v>
      </c>
      <c r="AE55" s="29">
        <f t="shared" si="1"/>
        <v>205270000</v>
      </c>
      <c r="AF55" s="30" t="s">
        <v>364</v>
      </c>
    </row>
    <row r="56" spans="1:32" ht="55.2" x14ac:dyDescent="0.3">
      <c r="A56" s="148"/>
      <c r="B56" s="159">
        <v>0</v>
      </c>
      <c r="C56" s="148"/>
      <c r="D56" s="160">
        <v>0</v>
      </c>
      <c r="E56" s="75">
        <v>0</v>
      </c>
      <c r="F56" s="75">
        <f>15.182-15.182</f>
        <v>0</v>
      </c>
      <c r="G56" s="74">
        <f>22.556-2-4</f>
        <v>16.556000000000001</v>
      </c>
      <c r="H56" s="75">
        <f>16.517-7</f>
        <v>9.5169999999999995</v>
      </c>
      <c r="I56" s="75">
        <v>13.564</v>
      </c>
      <c r="J56" s="73">
        <v>53020030002</v>
      </c>
      <c r="K56" s="30" t="s">
        <v>1905</v>
      </c>
      <c r="L56" s="30" t="s">
        <v>1906</v>
      </c>
      <c r="M56" s="22" t="s">
        <v>107</v>
      </c>
      <c r="N56" s="22" t="s">
        <v>374</v>
      </c>
      <c r="O56" s="73" t="s">
        <v>865</v>
      </c>
      <c r="P56" s="22" t="s">
        <v>866</v>
      </c>
      <c r="Q56" s="22" t="s">
        <v>373</v>
      </c>
      <c r="R56" s="22">
        <v>15</v>
      </c>
      <c r="S56" s="21">
        <v>32</v>
      </c>
      <c r="T56" s="22">
        <v>10</v>
      </c>
      <c r="U56" s="21">
        <v>0</v>
      </c>
      <c r="V56" s="21">
        <v>100</v>
      </c>
      <c r="W56" s="21">
        <v>0</v>
      </c>
      <c r="X56" s="21">
        <v>0</v>
      </c>
      <c r="Y56" s="94">
        <v>65</v>
      </c>
      <c r="Z56" s="116">
        <v>100</v>
      </c>
      <c r="AA56" s="87">
        <v>0</v>
      </c>
      <c r="AB56" s="29">
        <v>0</v>
      </c>
      <c r="AC56" s="29">
        <v>200000000</v>
      </c>
      <c r="AD56" s="29">
        <v>61440000</v>
      </c>
      <c r="AE56" s="29">
        <f t="shared" si="1"/>
        <v>261440000</v>
      </c>
      <c r="AF56" s="30" t="s">
        <v>364</v>
      </c>
    </row>
    <row r="57" spans="1:32" ht="96.6" x14ac:dyDescent="0.3">
      <c r="A57" s="148"/>
      <c r="B57" s="159">
        <v>0</v>
      </c>
      <c r="C57" s="148"/>
      <c r="D57" s="160">
        <v>0</v>
      </c>
      <c r="E57" s="75">
        <v>0</v>
      </c>
      <c r="F57" s="75">
        <f>10.591+9.732+15.182+16.728+13.746</f>
        <v>65.978999999999999</v>
      </c>
      <c r="G57" s="74">
        <f>10.399+9.343-2.5</f>
        <v>17.241999999999997</v>
      </c>
      <c r="H57" s="75">
        <v>9.6839999999999993</v>
      </c>
      <c r="I57" s="75">
        <v>7.6680000000000001</v>
      </c>
      <c r="J57" s="73">
        <v>53020030003</v>
      </c>
      <c r="K57" s="30" t="s">
        <v>1907</v>
      </c>
      <c r="L57" s="30" t="s">
        <v>1908</v>
      </c>
      <c r="M57" s="22" t="s">
        <v>107</v>
      </c>
      <c r="N57" s="22" t="s">
        <v>373</v>
      </c>
      <c r="O57" s="73" t="s">
        <v>860</v>
      </c>
      <c r="P57" s="22" t="s">
        <v>867</v>
      </c>
      <c r="Q57" s="22" t="s">
        <v>373</v>
      </c>
      <c r="R57" s="22">
        <v>8</v>
      </c>
      <c r="S57" s="21">
        <v>17</v>
      </c>
      <c r="T57" s="22">
        <v>8</v>
      </c>
      <c r="U57" s="21">
        <v>30</v>
      </c>
      <c r="V57" s="21">
        <v>100</v>
      </c>
      <c r="W57" s="21">
        <v>0</v>
      </c>
      <c r="X57" s="21">
        <v>70</v>
      </c>
      <c r="Y57" s="94">
        <v>90</v>
      </c>
      <c r="Z57" s="116">
        <v>100</v>
      </c>
      <c r="AA57" s="87">
        <v>0</v>
      </c>
      <c r="AB57" s="29">
        <v>892247615</v>
      </c>
      <c r="AC57" s="29">
        <v>300000000</v>
      </c>
      <c r="AD57" s="29">
        <v>75270000</v>
      </c>
      <c r="AE57" s="29">
        <f t="shared" si="1"/>
        <v>1267517615</v>
      </c>
      <c r="AF57" s="30" t="s">
        <v>364</v>
      </c>
    </row>
    <row r="58" spans="1:32" ht="41.4" x14ac:dyDescent="0.3">
      <c r="A58" s="148"/>
      <c r="B58" s="159">
        <v>0</v>
      </c>
      <c r="C58" s="148"/>
      <c r="D58" s="160">
        <v>0</v>
      </c>
      <c r="E58" s="75">
        <v>0</v>
      </c>
      <c r="F58" s="75">
        <v>0</v>
      </c>
      <c r="G58" s="74">
        <v>0</v>
      </c>
      <c r="H58" s="75">
        <f>13.537+11.741+6.384</f>
        <v>31.661999999999999</v>
      </c>
      <c r="I58" s="75">
        <v>3.3839999999999999</v>
      </c>
      <c r="J58" s="73">
        <v>53020030004</v>
      </c>
      <c r="K58" s="30" t="s">
        <v>1909</v>
      </c>
      <c r="L58" s="30" t="s">
        <v>1910</v>
      </c>
      <c r="M58" s="22" t="s">
        <v>107</v>
      </c>
      <c r="N58" s="22" t="s">
        <v>373</v>
      </c>
      <c r="O58" s="73" t="s">
        <v>381</v>
      </c>
      <c r="P58" s="22" t="s">
        <v>868</v>
      </c>
      <c r="Q58" s="22" t="s">
        <v>373</v>
      </c>
      <c r="R58" s="22">
        <v>7</v>
      </c>
      <c r="S58" s="21">
        <v>21</v>
      </c>
      <c r="T58" s="22">
        <v>6</v>
      </c>
      <c r="U58" s="21">
        <v>0</v>
      </c>
      <c r="V58" s="21">
        <v>30</v>
      </c>
      <c r="W58" s="21">
        <v>0</v>
      </c>
      <c r="X58" s="21">
        <v>0</v>
      </c>
      <c r="Y58" s="94">
        <v>0</v>
      </c>
      <c r="Z58" s="116">
        <v>30</v>
      </c>
      <c r="AA58" s="87">
        <v>0</v>
      </c>
      <c r="AB58" s="29">
        <v>0</v>
      </c>
      <c r="AC58" s="29">
        <v>0</v>
      </c>
      <c r="AD58" s="29">
        <v>383820000</v>
      </c>
      <c r="AE58" s="29">
        <f t="shared" si="1"/>
        <v>383820000</v>
      </c>
      <c r="AF58" s="30" t="s">
        <v>364</v>
      </c>
    </row>
    <row r="59" spans="1:32" ht="55.2" x14ac:dyDescent="0.3">
      <c r="A59" s="148"/>
      <c r="B59" s="159">
        <v>0</v>
      </c>
      <c r="C59" s="148"/>
      <c r="D59" s="160">
        <v>0</v>
      </c>
      <c r="E59" s="75">
        <v>38.472000000000001</v>
      </c>
      <c r="F59" s="75">
        <f>16.728-16.728</f>
        <v>0</v>
      </c>
      <c r="G59" s="74">
        <f>9.343-9.343</f>
        <v>0</v>
      </c>
      <c r="H59" s="75">
        <v>7.9249999999999998</v>
      </c>
      <c r="I59" s="75">
        <v>18.117000000000001</v>
      </c>
      <c r="J59" s="73">
        <v>53020030005</v>
      </c>
      <c r="K59" s="30" t="s">
        <v>1911</v>
      </c>
      <c r="L59" s="30" t="s">
        <v>1912</v>
      </c>
      <c r="M59" s="22" t="s">
        <v>107</v>
      </c>
      <c r="N59" s="22" t="s">
        <v>373</v>
      </c>
      <c r="O59" s="73" t="s">
        <v>381</v>
      </c>
      <c r="P59" s="22" t="s">
        <v>869</v>
      </c>
      <c r="Q59" s="22" t="s">
        <v>373</v>
      </c>
      <c r="R59" s="22">
        <v>12</v>
      </c>
      <c r="S59" s="21">
        <v>32</v>
      </c>
      <c r="T59" s="22">
        <v>10</v>
      </c>
      <c r="U59" s="21">
        <v>35</v>
      </c>
      <c r="V59" s="21">
        <v>85</v>
      </c>
      <c r="W59" s="21">
        <v>40</v>
      </c>
      <c r="X59" s="21">
        <v>0</v>
      </c>
      <c r="Y59" s="94">
        <v>0</v>
      </c>
      <c r="Z59" s="116">
        <v>85</v>
      </c>
      <c r="AA59" s="87">
        <v>435211384</v>
      </c>
      <c r="AB59" s="29">
        <v>0</v>
      </c>
      <c r="AC59" s="29">
        <v>0</v>
      </c>
      <c r="AD59" s="29">
        <v>45486000</v>
      </c>
      <c r="AE59" s="29">
        <f t="shared" si="1"/>
        <v>480697384</v>
      </c>
      <c r="AF59" s="30" t="s">
        <v>368</v>
      </c>
    </row>
    <row r="60" spans="1:32" ht="41.4" x14ac:dyDescent="0.3">
      <c r="A60" s="148"/>
      <c r="B60" s="159">
        <v>0</v>
      </c>
      <c r="C60" s="148"/>
      <c r="D60" s="160">
        <v>0</v>
      </c>
      <c r="E60" s="75">
        <v>22.367000000000001</v>
      </c>
      <c r="F60" s="75">
        <f>13.323-13.323</f>
        <v>0</v>
      </c>
      <c r="G60" s="74">
        <f>9.921+13.842-6</f>
        <v>17.762999999999998</v>
      </c>
      <c r="H60" s="75">
        <v>7.87</v>
      </c>
      <c r="I60" s="75">
        <v>13.37</v>
      </c>
      <c r="J60" s="73">
        <v>53020030006</v>
      </c>
      <c r="K60" s="30" t="s">
        <v>1913</v>
      </c>
      <c r="L60" s="30" t="s">
        <v>1914</v>
      </c>
      <c r="M60" s="22" t="s">
        <v>107</v>
      </c>
      <c r="N60" s="22" t="s">
        <v>373</v>
      </c>
      <c r="O60" s="73" t="s">
        <v>381</v>
      </c>
      <c r="P60" s="22" t="s">
        <v>870</v>
      </c>
      <c r="Q60" s="22" t="s">
        <v>373</v>
      </c>
      <c r="R60" s="22">
        <v>15</v>
      </c>
      <c r="S60" s="21">
        <v>32</v>
      </c>
      <c r="T60" s="22">
        <v>10</v>
      </c>
      <c r="U60" s="21">
        <v>30</v>
      </c>
      <c r="V60" s="21">
        <v>80</v>
      </c>
      <c r="W60" s="21">
        <v>35</v>
      </c>
      <c r="X60" s="21">
        <v>0</v>
      </c>
      <c r="Y60" s="94">
        <v>20</v>
      </c>
      <c r="Z60" s="116">
        <v>80</v>
      </c>
      <c r="AA60" s="111">
        <v>100000000</v>
      </c>
      <c r="AB60" s="29">
        <v>0</v>
      </c>
      <c r="AC60" s="21">
        <v>340003984</v>
      </c>
      <c r="AD60" s="29">
        <v>50540000</v>
      </c>
      <c r="AE60" s="29">
        <f t="shared" si="1"/>
        <v>490543984</v>
      </c>
      <c r="AF60" s="30" t="s">
        <v>368</v>
      </c>
    </row>
    <row r="61" spans="1:32" ht="82.8" x14ac:dyDescent="0.3">
      <c r="A61" s="148"/>
      <c r="B61" s="159">
        <v>0</v>
      </c>
      <c r="C61" s="148"/>
      <c r="D61" s="160">
        <v>0</v>
      </c>
      <c r="E61" s="75">
        <v>25.283000000000001</v>
      </c>
      <c r="F61" s="75">
        <f>12.543+13.323+8.155+13.746-13.746</f>
        <v>34.021000000000001</v>
      </c>
      <c r="G61" s="74">
        <f>12.63+4-4</f>
        <v>12.630000000000003</v>
      </c>
      <c r="H61" s="75">
        <f>10.714+7</f>
        <v>17.713999999999999</v>
      </c>
      <c r="I61" s="75">
        <v>15.292999999999999</v>
      </c>
      <c r="J61" s="73">
        <v>53020030007</v>
      </c>
      <c r="K61" s="30" t="s">
        <v>1915</v>
      </c>
      <c r="L61" s="30" t="s">
        <v>1916</v>
      </c>
      <c r="M61" s="22" t="s">
        <v>107</v>
      </c>
      <c r="N61" s="22" t="s">
        <v>373</v>
      </c>
      <c r="O61" s="73" t="s">
        <v>381</v>
      </c>
      <c r="P61" s="22" t="s">
        <v>871</v>
      </c>
      <c r="Q61" s="22" t="s">
        <v>373</v>
      </c>
      <c r="R61" s="22">
        <v>11</v>
      </c>
      <c r="S61" s="21">
        <v>32</v>
      </c>
      <c r="T61" s="22">
        <v>10</v>
      </c>
      <c r="U61" s="21">
        <v>300</v>
      </c>
      <c r="V61" s="21">
        <v>350</v>
      </c>
      <c r="W61" s="21">
        <v>310</v>
      </c>
      <c r="X61" s="21">
        <v>315</v>
      </c>
      <c r="Y61" s="94">
        <v>333</v>
      </c>
      <c r="Z61" s="116">
        <v>350</v>
      </c>
      <c r="AA61" s="105">
        <v>266408000</v>
      </c>
      <c r="AB61" s="29">
        <v>181200000</v>
      </c>
      <c r="AC61" s="21">
        <v>210000000</v>
      </c>
      <c r="AD61" s="29">
        <v>165562000</v>
      </c>
      <c r="AE61" s="29">
        <f t="shared" si="1"/>
        <v>823170000</v>
      </c>
      <c r="AF61" s="30" t="s">
        <v>368</v>
      </c>
    </row>
    <row r="62" spans="1:32" ht="82.8" x14ac:dyDescent="0.3">
      <c r="A62" s="148"/>
      <c r="B62" s="159">
        <v>0</v>
      </c>
      <c r="C62" s="148"/>
      <c r="D62" s="160">
        <v>0</v>
      </c>
      <c r="E62" s="75">
        <v>13.877999999999998</v>
      </c>
      <c r="F62" s="75">
        <f>8.155-8.155</f>
        <v>0</v>
      </c>
      <c r="G62" s="74">
        <f>8.191+2-2</f>
        <v>8.1910000000000007</v>
      </c>
      <c r="H62" s="75">
        <v>7.4029999999999996</v>
      </c>
      <c r="I62" s="75">
        <v>9.4060000000000006</v>
      </c>
      <c r="J62" s="73">
        <v>53020030008</v>
      </c>
      <c r="K62" s="30" t="s">
        <v>1917</v>
      </c>
      <c r="L62" s="30" t="s">
        <v>1918</v>
      </c>
      <c r="M62" s="22" t="s">
        <v>107</v>
      </c>
      <c r="N62" s="22" t="s">
        <v>373</v>
      </c>
      <c r="O62" s="73" t="s">
        <v>381</v>
      </c>
      <c r="P62" s="22" t="s">
        <v>872</v>
      </c>
      <c r="Q62" s="22" t="s">
        <v>373</v>
      </c>
      <c r="R62" s="22">
        <v>11</v>
      </c>
      <c r="S62" s="21">
        <v>32</v>
      </c>
      <c r="T62" s="22">
        <v>10</v>
      </c>
      <c r="U62" s="21">
        <v>100</v>
      </c>
      <c r="V62" s="21">
        <v>200</v>
      </c>
      <c r="W62" s="21">
        <v>115</v>
      </c>
      <c r="X62" s="21">
        <v>0</v>
      </c>
      <c r="Y62" s="94">
        <v>187</v>
      </c>
      <c r="Z62" s="116">
        <v>200</v>
      </c>
      <c r="AA62" s="105">
        <v>78100000</v>
      </c>
      <c r="AB62" s="29">
        <v>0</v>
      </c>
      <c r="AC62" s="21">
        <v>62000000</v>
      </c>
      <c r="AD62" s="29">
        <v>48880000</v>
      </c>
      <c r="AE62" s="29">
        <f t="shared" si="1"/>
        <v>188980000</v>
      </c>
      <c r="AF62" s="30" t="s">
        <v>368</v>
      </c>
    </row>
    <row r="63" spans="1:32" ht="41.4" x14ac:dyDescent="0.3">
      <c r="A63" s="148"/>
      <c r="B63" s="159">
        <v>0</v>
      </c>
      <c r="C63" s="148"/>
      <c r="D63" s="160">
        <v>0</v>
      </c>
      <c r="E63" s="75">
        <v>0</v>
      </c>
      <c r="F63" s="75">
        <v>0</v>
      </c>
      <c r="G63" s="74">
        <v>0</v>
      </c>
      <c r="H63" s="75">
        <f>6.384-6.384</f>
        <v>0</v>
      </c>
      <c r="I63" s="75">
        <v>1.597</v>
      </c>
      <c r="J63" s="73">
        <v>53020030009</v>
      </c>
      <c r="K63" s="30" t="s">
        <v>1919</v>
      </c>
      <c r="L63" s="30" t="s">
        <v>1920</v>
      </c>
      <c r="M63" s="22" t="s">
        <v>107</v>
      </c>
      <c r="N63" s="22" t="s">
        <v>373</v>
      </c>
      <c r="O63" s="73" t="s">
        <v>756</v>
      </c>
      <c r="P63" s="22" t="s">
        <v>2156</v>
      </c>
      <c r="Q63" s="22" t="s">
        <v>373</v>
      </c>
      <c r="R63" s="22">
        <v>9</v>
      </c>
      <c r="S63" s="21">
        <v>32</v>
      </c>
      <c r="T63" s="22">
        <v>10</v>
      </c>
      <c r="U63" s="21">
        <v>0</v>
      </c>
      <c r="V63" s="21">
        <v>1</v>
      </c>
      <c r="W63" s="21">
        <v>0</v>
      </c>
      <c r="X63" s="21">
        <v>0</v>
      </c>
      <c r="Y63" s="94">
        <v>0</v>
      </c>
      <c r="Z63" s="116">
        <v>0</v>
      </c>
      <c r="AA63" s="105">
        <v>0</v>
      </c>
      <c r="AB63" s="29">
        <v>0</v>
      </c>
      <c r="AC63" s="21">
        <v>0</v>
      </c>
      <c r="AD63" s="21">
        <v>0</v>
      </c>
      <c r="AE63" s="29">
        <f t="shared" si="1"/>
        <v>0</v>
      </c>
      <c r="AF63" s="30" t="s">
        <v>1142</v>
      </c>
    </row>
    <row r="64" spans="1:32" ht="82.8" x14ac:dyDescent="0.3">
      <c r="A64" s="148"/>
      <c r="B64" s="159">
        <v>0</v>
      </c>
      <c r="C64" s="148"/>
      <c r="D64" s="160">
        <v>0</v>
      </c>
      <c r="E64" s="75">
        <v>0</v>
      </c>
      <c r="F64" s="75">
        <f>13.746-13.746</f>
        <v>0</v>
      </c>
      <c r="G64" s="74">
        <f>13.842-13.842+6+2.5+2+4</f>
        <v>14.5</v>
      </c>
      <c r="H64" s="75">
        <f>11.741-11.741</f>
        <v>0</v>
      </c>
      <c r="I64" s="75">
        <v>9.8320000000000007</v>
      </c>
      <c r="J64" s="73">
        <v>53020030010</v>
      </c>
      <c r="K64" s="30" t="s">
        <v>1921</v>
      </c>
      <c r="L64" s="30" t="s">
        <v>1922</v>
      </c>
      <c r="M64" s="22" t="s">
        <v>107</v>
      </c>
      <c r="N64" s="22" t="s">
        <v>373</v>
      </c>
      <c r="O64" s="73" t="s">
        <v>381</v>
      </c>
      <c r="P64" s="22" t="s">
        <v>873</v>
      </c>
      <c r="Q64" s="22" t="s">
        <v>373</v>
      </c>
      <c r="R64" s="22">
        <v>5</v>
      </c>
      <c r="S64" s="21">
        <v>17</v>
      </c>
      <c r="T64" s="22">
        <v>8</v>
      </c>
      <c r="U64" s="21">
        <v>0</v>
      </c>
      <c r="V64" s="21">
        <v>300</v>
      </c>
      <c r="W64" s="21">
        <v>0</v>
      </c>
      <c r="X64" s="21">
        <v>0</v>
      </c>
      <c r="Y64" s="94">
        <v>100</v>
      </c>
      <c r="Z64" s="116">
        <v>0</v>
      </c>
      <c r="AA64" s="87">
        <v>0</v>
      </c>
      <c r="AB64" s="29">
        <v>0</v>
      </c>
      <c r="AC64" s="29">
        <v>300000000</v>
      </c>
      <c r="AD64" s="21">
        <v>0</v>
      </c>
      <c r="AE64" s="29">
        <f t="shared" si="1"/>
        <v>300000000</v>
      </c>
      <c r="AF64" s="30" t="s">
        <v>368</v>
      </c>
    </row>
    <row r="65" spans="1:32" ht="63.75" customHeight="1" x14ac:dyDescent="0.3">
      <c r="A65" s="148"/>
      <c r="B65" s="159">
        <v>0</v>
      </c>
      <c r="C65" s="148" t="s">
        <v>1923</v>
      </c>
      <c r="D65" s="160">
        <v>29.568000000000001</v>
      </c>
      <c r="E65" s="75">
        <v>28.550999999999998</v>
      </c>
      <c r="F65" s="75">
        <f>12.615-6-6.615</f>
        <v>0</v>
      </c>
      <c r="G65" s="74">
        <f>5.924+5+0.826</f>
        <v>11.75</v>
      </c>
      <c r="H65" s="75">
        <v>6.7390000000000008</v>
      </c>
      <c r="I65" s="75">
        <v>13.456999999999999</v>
      </c>
      <c r="J65" s="73">
        <v>53020040001</v>
      </c>
      <c r="K65" s="30" t="s">
        <v>1924</v>
      </c>
      <c r="L65" s="30" t="s">
        <v>1925</v>
      </c>
      <c r="M65" s="22" t="s">
        <v>107</v>
      </c>
      <c r="N65" s="22" t="s">
        <v>373</v>
      </c>
      <c r="O65" s="73" t="s">
        <v>381</v>
      </c>
      <c r="P65" s="22" t="s">
        <v>874</v>
      </c>
      <c r="Q65" s="22" t="s">
        <v>373</v>
      </c>
      <c r="R65" s="22">
        <v>13</v>
      </c>
      <c r="S65" s="21">
        <v>32</v>
      </c>
      <c r="T65" s="22">
        <v>10</v>
      </c>
      <c r="U65" s="21">
        <v>3</v>
      </c>
      <c r="V65" s="21">
        <v>9</v>
      </c>
      <c r="W65" s="21">
        <v>3</v>
      </c>
      <c r="X65" s="21">
        <v>0</v>
      </c>
      <c r="Y65" s="94">
        <v>3</v>
      </c>
      <c r="Z65" s="116">
        <v>9</v>
      </c>
      <c r="AA65" s="111">
        <v>600000000</v>
      </c>
      <c r="AB65" s="29">
        <v>0</v>
      </c>
      <c r="AC65" s="49">
        <v>1148468916</v>
      </c>
      <c r="AD65" s="21">
        <v>200000000</v>
      </c>
      <c r="AE65" s="29">
        <f t="shared" si="1"/>
        <v>1948468916</v>
      </c>
      <c r="AF65" s="30" t="s">
        <v>368</v>
      </c>
    </row>
    <row r="66" spans="1:32" ht="55.2" x14ac:dyDescent="0.3">
      <c r="A66" s="148"/>
      <c r="B66" s="159">
        <v>0</v>
      </c>
      <c r="C66" s="148"/>
      <c r="D66" s="160">
        <v>0</v>
      </c>
      <c r="E66" s="75">
        <v>0</v>
      </c>
      <c r="F66" s="75">
        <f>10.556-3.556-3-3-1</f>
        <v>-8.8817841970012523E-16</v>
      </c>
      <c r="G66" s="74">
        <f>5.747+2+1.079-2-2-2-2-0.826</f>
        <v>0</v>
      </c>
      <c r="H66" s="75">
        <v>6.2689999999999992</v>
      </c>
      <c r="I66" s="75">
        <v>5.6429999999999998</v>
      </c>
      <c r="J66" s="73">
        <v>53020040002</v>
      </c>
      <c r="K66" s="30" t="s">
        <v>1926</v>
      </c>
      <c r="L66" s="30" t="s">
        <v>1927</v>
      </c>
      <c r="M66" s="22" t="s">
        <v>107</v>
      </c>
      <c r="N66" s="22" t="s">
        <v>373</v>
      </c>
      <c r="O66" s="73" t="s">
        <v>381</v>
      </c>
      <c r="P66" s="22" t="s">
        <v>2157</v>
      </c>
      <c r="Q66" s="22" t="s">
        <v>373</v>
      </c>
      <c r="R66" s="22">
        <v>11</v>
      </c>
      <c r="S66" s="21">
        <v>32</v>
      </c>
      <c r="T66" s="22">
        <v>9</v>
      </c>
      <c r="U66" s="21">
        <v>0</v>
      </c>
      <c r="V66" s="21">
        <v>26</v>
      </c>
      <c r="W66" s="21">
        <v>0</v>
      </c>
      <c r="X66" s="21">
        <v>0</v>
      </c>
      <c r="Y66" s="94">
        <v>0</v>
      </c>
      <c r="Z66" s="116">
        <v>26</v>
      </c>
      <c r="AA66" s="105">
        <v>0</v>
      </c>
      <c r="AB66" s="29">
        <v>0</v>
      </c>
      <c r="AC66" s="49">
        <v>0</v>
      </c>
      <c r="AD66" s="21">
        <v>617355900</v>
      </c>
      <c r="AE66" s="29">
        <f t="shared" si="1"/>
        <v>617355900</v>
      </c>
      <c r="AF66" s="30" t="s">
        <v>371</v>
      </c>
    </row>
    <row r="67" spans="1:32" ht="55.2" x14ac:dyDescent="0.3">
      <c r="A67" s="148"/>
      <c r="B67" s="159">
        <v>0</v>
      </c>
      <c r="C67" s="148"/>
      <c r="D67" s="160">
        <v>0</v>
      </c>
      <c r="E67" s="75">
        <v>0</v>
      </c>
      <c r="F67" s="75">
        <f>4.952+3.556</f>
        <v>8.5079999999999991</v>
      </c>
      <c r="G67" s="74">
        <v>6.2399999999999993</v>
      </c>
      <c r="H67" s="75">
        <f>6.42-6.42</f>
        <v>0</v>
      </c>
      <c r="I67" s="75">
        <v>4.4029999999999996</v>
      </c>
      <c r="J67" s="73">
        <v>53020040003</v>
      </c>
      <c r="K67" s="30" t="s">
        <v>1928</v>
      </c>
      <c r="L67" s="30" t="s">
        <v>1929</v>
      </c>
      <c r="M67" s="22" t="s">
        <v>107</v>
      </c>
      <c r="N67" s="22" t="s">
        <v>373</v>
      </c>
      <c r="O67" s="73" t="s">
        <v>381</v>
      </c>
      <c r="P67" s="22" t="s">
        <v>875</v>
      </c>
      <c r="Q67" s="22" t="s">
        <v>373</v>
      </c>
      <c r="R67" s="22">
        <v>11</v>
      </c>
      <c r="S67" s="21">
        <v>24</v>
      </c>
      <c r="T67" s="22">
        <v>9</v>
      </c>
      <c r="U67" s="21">
        <v>0</v>
      </c>
      <c r="V67" s="21">
        <v>30000</v>
      </c>
      <c r="W67" s="21">
        <v>0</v>
      </c>
      <c r="X67" s="21">
        <v>10000</v>
      </c>
      <c r="Y67" s="94">
        <v>10000</v>
      </c>
      <c r="Z67" s="21">
        <v>0</v>
      </c>
      <c r="AA67" s="87">
        <v>0</v>
      </c>
      <c r="AB67" s="29">
        <v>250000000</v>
      </c>
      <c r="AC67" s="29">
        <v>450000000</v>
      </c>
      <c r="AD67" s="29">
        <v>0</v>
      </c>
      <c r="AE67" s="29">
        <f t="shared" si="1"/>
        <v>700000000</v>
      </c>
      <c r="AF67" s="30" t="s">
        <v>362</v>
      </c>
    </row>
    <row r="68" spans="1:32" ht="69" x14ac:dyDescent="0.3">
      <c r="A68" s="148"/>
      <c r="B68" s="159">
        <v>0</v>
      </c>
      <c r="C68" s="148"/>
      <c r="D68" s="160">
        <v>0</v>
      </c>
      <c r="E68" s="75">
        <v>0</v>
      </c>
      <c r="F68" s="75">
        <v>4.1709999999999994</v>
      </c>
      <c r="G68" s="74">
        <v>6.1440000000000001</v>
      </c>
      <c r="H68" s="75">
        <f>6.201-3-3.201</f>
        <v>0</v>
      </c>
      <c r="I68" s="75">
        <v>4.1290000000000004</v>
      </c>
      <c r="J68" s="73">
        <v>53020040004</v>
      </c>
      <c r="K68" s="30" t="s">
        <v>1930</v>
      </c>
      <c r="L68" s="30" t="s">
        <v>1931</v>
      </c>
      <c r="M68" s="22" t="s">
        <v>107</v>
      </c>
      <c r="N68" s="22" t="s">
        <v>373</v>
      </c>
      <c r="O68" s="73" t="s">
        <v>414</v>
      </c>
      <c r="P68" s="22" t="s">
        <v>876</v>
      </c>
      <c r="Q68" s="22" t="s">
        <v>373</v>
      </c>
      <c r="R68" s="22">
        <v>7</v>
      </c>
      <c r="S68" s="21">
        <v>21</v>
      </c>
      <c r="T68" s="22">
        <v>6</v>
      </c>
      <c r="U68" s="21">
        <v>55</v>
      </c>
      <c r="V68" s="21">
        <v>100</v>
      </c>
      <c r="W68" s="21">
        <v>0</v>
      </c>
      <c r="X68" s="21">
        <v>70</v>
      </c>
      <c r="Y68" s="94">
        <v>100</v>
      </c>
      <c r="Z68" s="116">
        <v>0</v>
      </c>
      <c r="AA68" s="87">
        <v>0</v>
      </c>
      <c r="AB68" s="29">
        <v>120000000</v>
      </c>
      <c r="AC68" s="29">
        <v>240000000</v>
      </c>
      <c r="AD68" s="21">
        <v>0</v>
      </c>
      <c r="AE68" s="29">
        <f t="shared" si="1"/>
        <v>360000000</v>
      </c>
      <c r="AF68" s="30" t="s">
        <v>365</v>
      </c>
    </row>
    <row r="69" spans="1:32" ht="69" x14ac:dyDescent="0.3">
      <c r="A69" s="148"/>
      <c r="B69" s="159">
        <v>0</v>
      </c>
      <c r="C69" s="148"/>
      <c r="D69" s="160">
        <v>0</v>
      </c>
      <c r="E69" s="75">
        <v>0</v>
      </c>
      <c r="F69" s="75">
        <v>0</v>
      </c>
      <c r="G69" s="74">
        <v>0</v>
      </c>
      <c r="H69" s="75">
        <f>30.549-10-6.5+2</f>
        <v>16.048999999999999</v>
      </c>
      <c r="I69" s="75">
        <v>7.6369999999999996</v>
      </c>
      <c r="J69" s="73">
        <v>53020040005</v>
      </c>
      <c r="K69" s="30" t="s">
        <v>1932</v>
      </c>
      <c r="L69" s="30" t="s">
        <v>1933</v>
      </c>
      <c r="M69" s="22" t="s">
        <v>107</v>
      </c>
      <c r="N69" s="22" t="s">
        <v>373</v>
      </c>
      <c r="O69" s="73" t="s">
        <v>414</v>
      </c>
      <c r="P69" s="22" t="s">
        <v>877</v>
      </c>
      <c r="Q69" s="22" t="s">
        <v>373</v>
      </c>
      <c r="R69" s="22">
        <v>7</v>
      </c>
      <c r="S69" s="21">
        <v>21</v>
      </c>
      <c r="T69" s="22">
        <v>6</v>
      </c>
      <c r="U69" s="21">
        <v>0</v>
      </c>
      <c r="V69" s="21">
        <v>5100</v>
      </c>
      <c r="W69" s="21">
        <v>0</v>
      </c>
      <c r="X69" s="21">
        <v>0</v>
      </c>
      <c r="Y69" s="94">
        <v>0</v>
      </c>
      <c r="Z69" s="116">
        <v>5100</v>
      </c>
      <c r="AA69" s="87">
        <v>0</v>
      </c>
      <c r="AB69" s="29">
        <v>0</v>
      </c>
      <c r="AC69" s="29">
        <v>0</v>
      </c>
      <c r="AD69" s="21">
        <v>48000064000</v>
      </c>
      <c r="AE69" s="29">
        <f t="shared" si="1"/>
        <v>48000064000</v>
      </c>
      <c r="AF69" s="30" t="s">
        <v>365</v>
      </c>
    </row>
    <row r="70" spans="1:32" ht="55.2" x14ac:dyDescent="0.3">
      <c r="A70" s="148"/>
      <c r="B70" s="159">
        <v>0</v>
      </c>
      <c r="C70" s="148"/>
      <c r="D70" s="160">
        <v>0</v>
      </c>
      <c r="E70" s="75">
        <v>0</v>
      </c>
      <c r="F70" s="75">
        <v>3.39</v>
      </c>
      <c r="G70" s="74">
        <v>6.048</v>
      </c>
      <c r="H70" s="75">
        <f>6.537+3-2.8</f>
        <v>6.7369999999999992</v>
      </c>
      <c r="I70" s="75">
        <v>3.9940000000000002</v>
      </c>
      <c r="J70" s="73">
        <v>53020040006</v>
      </c>
      <c r="K70" s="30" t="s">
        <v>1934</v>
      </c>
      <c r="L70" s="30" t="s">
        <v>1935</v>
      </c>
      <c r="M70" s="22" t="s">
        <v>107</v>
      </c>
      <c r="N70" s="22" t="s">
        <v>373</v>
      </c>
      <c r="O70" s="73" t="s">
        <v>414</v>
      </c>
      <c r="P70" s="22" t="s">
        <v>878</v>
      </c>
      <c r="Q70" s="22" t="s">
        <v>373</v>
      </c>
      <c r="R70" s="22">
        <v>7</v>
      </c>
      <c r="S70" s="21">
        <v>21</v>
      </c>
      <c r="T70" s="22">
        <v>6</v>
      </c>
      <c r="U70" s="21">
        <v>0</v>
      </c>
      <c r="V70" s="21">
        <v>50</v>
      </c>
      <c r="W70" s="21">
        <v>0</v>
      </c>
      <c r="X70" s="21">
        <v>5</v>
      </c>
      <c r="Y70" s="94">
        <v>5</v>
      </c>
      <c r="Z70" s="116">
        <v>50</v>
      </c>
      <c r="AA70" s="87">
        <v>0</v>
      </c>
      <c r="AB70" s="29">
        <v>40000000</v>
      </c>
      <c r="AC70" s="29">
        <v>40000000</v>
      </c>
      <c r="AD70" s="29">
        <v>320000000</v>
      </c>
      <c r="AE70" s="29">
        <f t="shared" si="1"/>
        <v>400000000</v>
      </c>
      <c r="AF70" s="30" t="s">
        <v>365</v>
      </c>
    </row>
    <row r="71" spans="1:32" ht="55.2" x14ac:dyDescent="0.3">
      <c r="A71" s="148"/>
      <c r="B71" s="159">
        <v>0</v>
      </c>
      <c r="C71" s="148"/>
      <c r="D71" s="160">
        <v>0</v>
      </c>
      <c r="E71" s="75">
        <v>38.759</v>
      </c>
      <c r="F71" s="75">
        <f>18.202+6</f>
        <v>24.202000000000002</v>
      </c>
      <c r="G71" s="74">
        <f>6.731+20</f>
        <v>26.731000000000002</v>
      </c>
      <c r="H71" s="75">
        <f>9.818+3.201-2</f>
        <v>11.019</v>
      </c>
      <c r="I71" s="75">
        <v>16.876999999999999</v>
      </c>
      <c r="J71" s="73">
        <v>53020040007</v>
      </c>
      <c r="K71" s="30" t="s">
        <v>1936</v>
      </c>
      <c r="L71" s="30" t="s">
        <v>1937</v>
      </c>
      <c r="M71" s="22" t="s">
        <v>107</v>
      </c>
      <c r="N71" s="22" t="s">
        <v>373</v>
      </c>
      <c r="O71" s="73" t="s">
        <v>414</v>
      </c>
      <c r="P71" s="22" t="s">
        <v>879</v>
      </c>
      <c r="Q71" s="22" t="s">
        <v>373</v>
      </c>
      <c r="R71" s="22">
        <v>7</v>
      </c>
      <c r="S71" s="21">
        <v>21</v>
      </c>
      <c r="T71" s="22">
        <v>6</v>
      </c>
      <c r="U71" s="21">
        <v>12</v>
      </c>
      <c r="V71" s="21">
        <v>112</v>
      </c>
      <c r="W71" s="21">
        <v>25</v>
      </c>
      <c r="X71" s="21">
        <v>38</v>
      </c>
      <c r="Y71" s="94">
        <v>38</v>
      </c>
      <c r="Z71" s="116">
        <v>112</v>
      </c>
      <c r="AA71" s="87">
        <v>2275000000</v>
      </c>
      <c r="AB71" s="29">
        <v>3527049344</v>
      </c>
      <c r="AC71" s="29">
        <v>12457627974</v>
      </c>
      <c r="AD71" s="29">
        <v>2275000000</v>
      </c>
      <c r="AE71" s="29">
        <f t="shared" si="1"/>
        <v>20534677318</v>
      </c>
      <c r="AF71" s="30" t="s">
        <v>365</v>
      </c>
    </row>
    <row r="72" spans="1:32" ht="41.4" x14ac:dyDescent="0.3">
      <c r="A72" s="148"/>
      <c r="B72" s="159">
        <v>0</v>
      </c>
      <c r="C72" s="148"/>
      <c r="D72" s="160">
        <v>0</v>
      </c>
      <c r="E72" s="75">
        <v>0</v>
      </c>
      <c r="F72" s="75">
        <v>0</v>
      </c>
      <c r="G72" s="74">
        <f>36.079-20-6-5-2-2-1.079</f>
        <v>0</v>
      </c>
      <c r="H72" s="75">
        <f>0+6.302+10+6.5+6.42</f>
        <v>29.222000000000001</v>
      </c>
      <c r="I72" s="75">
        <v>9.02</v>
      </c>
      <c r="J72" s="73">
        <v>53020040008</v>
      </c>
      <c r="K72" s="30" t="s">
        <v>1938</v>
      </c>
      <c r="L72" s="30" t="s">
        <v>1939</v>
      </c>
      <c r="M72" s="22" t="s">
        <v>107</v>
      </c>
      <c r="N72" s="22" t="s">
        <v>373</v>
      </c>
      <c r="O72" s="73" t="s">
        <v>414</v>
      </c>
      <c r="P72" s="22" t="s">
        <v>880</v>
      </c>
      <c r="Q72" s="22" t="s">
        <v>373</v>
      </c>
      <c r="R72" s="22">
        <v>7</v>
      </c>
      <c r="S72" s="21">
        <v>21</v>
      </c>
      <c r="T72" s="22">
        <v>6</v>
      </c>
      <c r="U72" s="21">
        <v>0</v>
      </c>
      <c r="V72" s="21">
        <v>1</v>
      </c>
      <c r="W72" s="21">
        <v>0</v>
      </c>
      <c r="X72" s="21">
        <v>0</v>
      </c>
      <c r="Y72" s="94">
        <v>0</v>
      </c>
      <c r="Z72" s="116">
        <v>1</v>
      </c>
      <c r="AA72" s="87">
        <v>0</v>
      </c>
      <c r="AB72" s="29">
        <v>0</v>
      </c>
      <c r="AC72" s="29">
        <v>0</v>
      </c>
      <c r="AD72" s="29">
        <v>71702002050</v>
      </c>
      <c r="AE72" s="29">
        <f t="shared" si="1"/>
        <v>71702002050</v>
      </c>
      <c r="AF72" s="30" t="s">
        <v>365</v>
      </c>
    </row>
    <row r="73" spans="1:32" ht="55.2" x14ac:dyDescent="0.3">
      <c r="A73" s="148"/>
      <c r="B73" s="159">
        <v>0</v>
      </c>
      <c r="C73" s="148"/>
      <c r="D73" s="160">
        <v>0</v>
      </c>
      <c r="E73" s="75">
        <v>0</v>
      </c>
      <c r="F73" s="75">
        <f>6.345+3</f>
        <v>9.3449999999999989</v>
      </c>
      <c r="G73" s="74">
        <f>6.412+2</f>
        <v>8.411999999999999</v>
      </c>
      <c r="H73" s="75">
        <v>6.7669999999999995</v>
      </c>
      <c r="I73" s="75">
        <v>4.8810000000000002</v>
      </c>
      <c r="J73" s="73">
        <v>53020040009</v>
      </c>
      <c r="K73" s="30" t="s">
        <v>1940</v>
      </c>
      <c r="L73" s="30" t="s">
        <v>1941</v>
      </c>
      <c r="M73" s="22" t="s">
        <v>107</v>
      </c>
      <c r="N73" s="22" t="s">
        <v>373</v>
      </c>
      <c r="O73" s="73" t="s">
        <v>414</v>
      </c>
      <c r="P73" s="22" t="s">
        <v>881</v>
      </c>
      <c r="Q73" s="22" t="s">
        <v>373</v>
      </c>
      <c r="R73" s="22">
        <v>7</v>
      </c>
      <c r="S73" s="21">
        <v>21</v>
      </c>
      <c r="T73" s="22">
        <v>6</v>
      </c>
      <c r="U73" s="21">
        <v>0</v>
      </c>
      <c r="V73" s="21">
        <v>100</v>
      </c>
      <c r="W73" s="21">
        <v>0</v>
      </c>
      <c r="X73" s="21">
        <v>30</v>
      </c>
      <c r="Y73" s="94">
        <v>30</v>
      </c>
      <c r="Z73" s="116">
        <v>100</v>
      </c>
      <c r="AA73" s="87">
        <v>0</v>
      </c>
      <c r="AB73" s="29">
        <v>342780000</v>
      </c>
      <c r="AC73" s="29">
        <v>342780000</v>
      </c>
      <c r="AD73" s="29">
        <v>457040000</v>
      </c>
      <c r="AE73" s="29">
        <f t="shared" si="1"/>
        <v>1142600000</v>
      </c>
      <c r="AF73" s="30" t="s">
        <v>365</v>
      </c>
    </row>
    <row r="74" spans="1:32" ht="55.2" x14ac:dyDescent="0.3">
      <c r="A74" s="148"/>
      <c r="B74" s="159">
        <v>0</v>
      </c>
      <c r="C74" s="148"/>
      <c r="D74" s="160">
        <v>0</v>
      </c>
      <c r="E74" s="75">
        <v>0</v>
      </c>
      <c r="F74" s="75">
        <f>8.855+3</f>
        <v>11.855</v>
      </c>
      <c r="G74" s="74">
        <f>7.441+2</f>
        <v>9.4409999999999989</v>
      </c>
      <c r="H74" s="75">
        <v>6.0069999999999997</v>
      </c>
      <c r="I74" s="75">
        <v>5.5759999999999996</v>
      </c>
      <c r="J74" s="73">
        <v>53020040010</v>
      </c>
      <c r="K74" s="30" t="s">
        <v>1942</v>
      </c>
      <c r="L74" s="30" t="s">
        <v>1943</v>
      </c>
      <c r="M74" s="22" t="s">
        <v>107</v>
      </c>
      <c r="N74" s="22" t="s">
        <v>373</v>
      </c>
      <c r="O74" s="73" t="s">
        <v>414</v>
      </c>
      <c r="P74" s="22" t="s">
        <v>882</v>
      </c>
      <c r="Q74" s="22" t="s">
        <v>373</v>
      </c>
      <c r="R74" s="22">
        <v>7</v>
      </c>
      <c r="S74" s="21">
        <v>21</v>
      </c>
      <c r="T74" s="22">
        <v>6</v>
      </c>
      <c r="U74" s="21">
        <v>0</v>
      </c>
      <c r="V74" s="21">
        <v>20</v>
      </c>
      <c r="W74" s="21">
        <v>0</v>
      </c>
      <c r="X74" s="21">
        <v>5</v>
      </c>
      <c r="Y74" s="94">
        <v>7</v>
      </c>
      <c r="Z74" s="116">
        <v>20</v>
      </c>
      <c r="AA74" s="87">
        <v>0</v>
      </c>
      <c r="AB74" s="29">
        <v>600000000</v>
      </c>
      <c r="AC74" s="29">
        <v>540000000</v>
      </c>
      <c r="AD74" s="29">
        <v>640000000</v>
      </c>
      <c r="AE74" s="29">
        <f t="shared" si="1"/>
        <v>1780000000</v>
      </c>
      <c r="AF74" s="30" t="s">
        <v>365</v>
      </c>
    </row>
    <row r="75" spans="1:32" ht="55.2" x14ac:dyDescent="0.3">
      <c r="A75" s="148"/>
      <c r="B75" s="159">
        <v>0</v>
      </c>
      <c r="C75" s="148"/>
      <c r="D75" s="160">
        <v>0</v>
      </c>
      <c r="E75" s="75">
        <v>0</v>
      </c>
      <c r="F75" s="75">
        <f>4.757+1</f>
        <v>5.7569999999999997</v>
      </c>
      <c r="G75" s="74">
        <f>6.432+2+2</f>
        <v>10.432</v>
      </c>
      <c r="H75" s="75">
        <f>6.302-6.302</f>
        <v>0</v>
      </c>
      <c r="I75" s="75">
        <v>4.3730000000000002</v>
      </c>
      <c r="J75" s="73">
        <v>53020040011</v>
      </c>
      <c r="K75" s="30" t="s">
        <v>1944</v>
      </c>
      <c r="L75" s="30" t="s">
        <v>1945</v>
      </c>
      <c r="M75" s="22" t="s">
        <v>107</v>
      </c>
      <c r="N75" s="22" t="s">
        <v>373</v>
      </c>
      <c r="O75" s="73" t="s">
        <v>414</v>
      </c>
      <c r="P75" s="22" t="s">
        <v>883</v>
      </c>
      <c r="Q75" s="22" t="s">
        <v>373</v>
      </c>
      <c r="R75" s="22">
        <v>7</v>
      </c>
      <c r="S75" s="21">
        <v>21</v>
      </c>
      <c r="T75" s="22">
        <v>6</v>
      </c>
      <c r="U75" s="21">
        <v>0</v>
      </c>
      <c r="V75" s="21">
        <v>4</v>
      </c>
      <c r="W75" s="21">
        <v>0</v>
      </c>
      <c r="X75" s="21">
        <v>1</v>
      </c>
      <c r="Y75" s="94">
        <v>4</v>
      </c>
      <c r="Z75" s="116">
        <v>0</v>
      </c>
      <c r="AA75" s="87">
        <v>0</v>
      </c>
      <c r="AB75" s="29">
        <v>180000000</v>
      </c>
      <c r="AC75" s="29">
        <v>775303051</v>
      </c>
      <c r="AD75" s="29">
        <v>0</v>
      </c>
      <c r="AE75" s="29">
        <f t="shared" si="1"/>
        <v>955303051</v>
      </c>
      <c r="AF75" s="30" t="s">
        <v>365</v>
      </c>
    </row>
    <row r="76" spans="1:32" ht="41.4" x14ac:dyDescent="0.3">
      <c r="A76" s="148"/>
      <c r="B76" s="159">
        <v>0</v>
      </c>
      <c r="C76" s="148"/>
      <c r="D76" s="160">
        <v>0</v>
      </c>
      <c r="E76" s="75">
        <v>32.690000000000005</v>
      </c>
      <c r="F76" s="75">
        <f>21.957+6.615</f>
        <v>28.572000000000003</v>
      </c>
      <c r="G76" s="74">
        <f>6.802+6+2</f>
        <v>14.802</v>
      </c>
      <c r="H76" s="75">
        <f>8.391+2.8</f>
        <v>11.190999999999999</v>
      </c>
      <c r="I76" s="75">
        <v>17.010000000000002</v>
      </c>
      <c r="J76" s="73">
        <v>53020040012</v>
      </c>
      <c r="K76" s="30" t="s">
        <v>1946</v>
      </c>
      <c r="L76" s="30" t="s">
        <v>1947</v>
      </c>
      <c r="M76" s="22" t="s">
        <v>107</v>
      </c>
      <c r="N76" s="22" t="s">
        <v>373</v>
      </c>
      <c r="O76" s="73" t="s">
        <v>414</v>
      </c>
      <c r="P76" s="22" t="s">
        <v>884</v>
      </c>
      <c r="Q76" s="22" t="s">
        <v>373</v>
      </c>
      <c r="R76" s="22">
        <v>11</v>
      </c>
      <c r="S76" s="21">
        <v>23</v>
      </c>
      <c r="T76" s="22">
        <v>6</v>
      </c>
      <c r="U76" s="21">
        <v>2500</v>
      </c>
      <c r="V76" s="21">
        <v>30000</v>
      </c>
      <c r="W76" s="21">
        <v>2500</v>
      </c>
      <c r="X76" s="21">
        <v>12000</v>
      </c>
      <c r="Y76" s="94">
        <v>10000</v>
      </c>
      <c r="Z76" s="116">
        <v>30000</v>
      </c>
      <c r="AA76" s="87">
        <v>750000000</v>
      </c>
      <c r="AB76" s="29">
        <v>4250000000</v>
      </c>
      <c r="AC76" s="29">
        <v>2500000000</v>
      </c>
      <c r="AD76" s="29">
        <v>4000000000</v>
      </c>
      <c r="AE76" s="29">
        <f t="shared" si="1"/>
        <v>11500000000</v>
      </c>
      <c r="AF76" s="30" t="s">
        <v>365</v>
      </c>
    </row>
    <row r="77" spans="1:32" ht="69" x14ac:dyDescent="0.3">
      <c r="A77" s="148"/>
      <c r="B77" s="159">
        <v>0</v>
      </c>
      <c r="C77" s="148"/>
      <c r="D77" s="160">
        <v>0</v>
      </c>
      <c r="E77" s="75">
        <v>0</v>
      </c>
      <c r="F77" s="75">
        <v>4.2</v>
      </c>
      <c r="G77" s="74">
        <v>0</v>
      </c>
      <c r="H77" s="75">
        <f>0+6.5-6.5</f>
        <v>0</v>
      </c>
      <c r="I77" s="75">
        <v>3</v>
      </c>
      <c r="J77" s="73">
        <v>53020040013</v>
      </c>
      <c r="K77" s="30" t="s">
        <v>1948</v>
      </c>
      <c r="L77" s="30" t="s">
        <v>1949</v>
      </c>
      <c r="M77" s="22" t="s">
        <v>107</v>
      </c>
      <c r="N77" s="22" t="s">
        <v>373</v>
      </c>
      <c r="O77" s="73" t="s">
        <v>381</v>
      </c>
      <c r="P77" s="22" t="s">
        <v>885</v>
      </c>
      <c r="Q77" s="22" t="s">
        <v>373</v>
      </c>
      <c r="R77" s="22">
        <v>11</v>
      </c>
      <c r="S77" s="21">
        <v>24</v>
      </c>
      <c r="T77" s="22">
        <v>9</v>
      </c>
      <c r="U77" s="21">
        <v>0</v>
      </c>
      <c r="V77" s="21">
        <v>1</v>
      </c>
      <c r="W77" s="21">
        <v>0</v>
      </c>
      <c r="X77" s="21">
        <v>1</v>
      </c>
      <c r="Y77" s="94">
        <v>0</v>
      </c>
      <c r="Z77" s="116">
        <f>IFERROR(VLOOKUP(#REF!,[2]AreaFun!$A$7:$B$529,2,0),0)</f>
        <v>0</v>
      </c>
      <c r="AA77" s="87">
        <v>0</v>
      </c>
      <c r="AB77" s="29">
        <v>100000000</v>
      </c>
      <c r="AC77" s="29">
        <v>0</v>
      </c>
      <c r="AD77" s="29">
        <v>0</v>
      </c>
      <c r="AE77" s="29">
        <f t="shared" si="1"/>
        <v>100000000</v>
      </c>
      <c r="AF77" s="30" t="s">
        <v>362</v>
      </c>
    </row>
    <row r="78" spans="1:32" x14ac:dyDescent="0.3">
      <c r="A78" s="24"/>
      <c r="B78" s="38"/>
      <c r="C78" s="24"/>
      <c r="D78" s="39"/>
      <c r="E78" s="35"/>
      <c r="F78" s="35"/>
      <c r="G78" s="35"/>
      <c r="H78" s="35"/>
      <c r="I78" s="35"/>
      <c r="J78" s="24"/>
      <c r="K78" s="40"/>
      <c r="L78" s="40"/>
      <c r="M78" s="41"/>
      <c r="N78" s="41"/>
      <c r="O78" s="24"/>
      <c r="P78" s="41"/>
      <c r="Q78" s="41"/>
      <c r="R78" s="41"/>
      <c r="S78" s="52"/>
      <c r="T78" s="41"/>
      <c r="U78" s="52"/>
      <c r="V78" s="52"/>
      <c r="W78" s="52"/>
      <c r="X78" s="52"/>
      <c r="Y78" s="52"/>
      <c r="Z78" s="55"/>
      <c r="AA78" s="52"/>
      <c r="AB78" s="52"/>
      <c r="AC78" s="52"/>
      <c r="AD78" s="29"/>
      <c r="AE78" s="53"/>
      <c r="AF78" s="40"/>
    </row>
    <row r="79" spans="1:32" ht="69" x14ac:dyDescent="0.3">
      <c r="A79" s="148" t="s">
        <v>1950</v>
      </c>
      <c r="B79" s="159">
        <v>15.911</v>
      </c>
      <c r="C79" s="148" t="s">
        <v>1951</v>
      </c>
      <c r="D79" s="160">
        <v>15.134</v>
      </c>
      <c r="E79" s="75">
        <v>0</v>
      </c>
      <c r="F79" s="75">
        <f>28.465-10-10-8.465</f>
        <v>0</v>
      </c>
      <c r="G79" s="74">
        <f>16.608+8</f>
        <v>24.608000000000001</v>
      </c>
      <c r="H79" s="75">
        <f>17.572-17.572</f>
        <v>0</v>
      </c>
      <c r="I79" s="75">
        <v>15.662000000000001</v>
      </c>
      <c r="J79" s="73">
        <v>53030010001</v>
      </c>
      <c r="K79" s="30" t="s">
        <v>1952</v>
      </c>
      <c r="L79" s="30" t="s">
        <v>1953</v>
      </c>
      <c r="M79" s="22" t="s">
        <v>107</v>
      </c>
      <c r="N79" s="22" t="s">
        <v>373</v>
      </c>
      <c r="O79" s="73" t="s">
        <v>381</v>
      </c>
      <c r="P79" s="22" t="s">
        <v>886</v>
      </c>
      <c r="Q79" s="22" t="s">
        <v>373</v>
      </c>
      <c r="R79" s="22">
        <v>6</v>
      </c>
      <c r="S79" s="21">
        <v>32</v>
      </c>
      <c r="T79" s="22">
        <v>10</v>
      </c>
      <c r="U79" s="21">
        <v>0</v>
      </c>
      <c r="V79" s="21">
        <v>4</v>
      </c>
      <c r="W79" s="21">
        <v>0</v>
      </c>
      <c r="X79" s="21">
        <v>0</v>
      </c>
      <c r="Y79" s="94">
        <v>4</v>
      </c>
      <c r="Z79" s="116">
        <v>0</v>
      </c>
      <c r="AA79" s="87">
        <v>0</v>
      </c>
      <c r="AB79" s="29">
        <v>0</v>
      </c>
      <c r="AC79" s="29">
        <v>2627079000</v>
      </c>
      <c r="AD79" s="29">
        <v>0</v>
      </c>
      <c r="AE79" s="29">
        <f>SUM(AA79:AD79)</f>
        <v>2627079000</v>
      </c>
      <c r="AF79" s="30" t="s">
        <v>368</v>
      </c>
    </row>
    <row r="80" spans="1:32" ht="110.4" x14ac:dyDescent="0.3">
      <c r="A80" s="148"/>
      <c r="B80" s="159">
        <v>0</v>
      </c>
      <c r="C80" s="148"/>
      <c r="D80" s="160">
        <v>0</v>
      </c>
      <c r="E80" s="75">
        <v>0</v>
      </c>
      <c r="F80" s="75">
        <f>28.465-28.465</f>
        <v>0</v>
      </c>
      <c r="G80" s="74">
        <f>16.608-6-8-2.608</f>
        <v>0</v>
      </c>
      <c r="H80" s="75">
        <f>0+17.572-10-6-1.572</f>
        <v>0</v>
      </c>
      <c r="I80" s="75">
        <v>11.268000000000001</v>
      </c>
      <c r="J80" s="73">
        <v>53030010002</v>
      </c>
      <c r="K80" s="30" t="s">
        <v>1954</v>
      </c>
      <c r="L80" s="30" t="s">
        <v>1955</v>
      </c>
      <c r="M80" s="22" t="s">
        <v>107</v>
      </c>
      <c r="N80" s="22" t="s">
        <v>373</v>
      </c>
      <c r="O80" s="73" t="s">
        <v>808</v>
      </c>
      <c r="P80" s="22" t="s">
        <v>887</v>
      </c>
      <c r="Q80" s="22" t="s">
        <v>373</v>
      </c>
      <c r="R80" s="22">
        <v>6</v>
      </c>
      <c r="S80" s="21">
        <v>32</v>
      </c>
      <c r="T80" s="22">
        <v>10</v>
      </c>
      <c r="U80" s="21">
        <v>3</v>
      </c>
      <c r="V80" s="21">
        <v>4</v>
      </c>
      <c r="W80" s="21">
        <v>0</v>
      </c>
      <c r="X80" s="21">
        <v>0</v>
      </c>
      <c r="Y80" s="94">
        <v>0</v>
      </c>
      <c r="Z80" s="116">
        <v>0</v>
      </c>
      <c r="AA80" s="111">
        <v>0</v>
      </c>
      <c r="AB80" s="21">
        <v>0</v>
      </c>
      <c r="AC80" s="21">
        <v>0</v>
      </c>
      <c r="AD80" s="29">
        <v>0</v>
      </c>
      <c r="AE80" s="29">
        <f t="shared" ref="AE80:AE99" si="2">SUM(AA80:AD80)</f>
        <v>0</v>
      </c>
      <c r="AF80" s="30" t="s">
        <v>368</v>
      </c>
    </row>
    <row r="81" spans="1:32" ht="138" x14ac:dyDescent="0.3">
      <c r="A81" s="148"/>
      <c r="B81" s="159">
        <v>0</v>
      </c>
      <c r="C81" s="148"/>
      <c r="D81" s="160">
        <v>0</v>
      </c>
      <c r="E81" s="75">
        <v>23.164000000000001</v>
      </c>
      <c r="F81" s="75">
        <f>9.567+28.465+10+8.465</f>
        <v>56.497</v>
      </c>
      <c r="G81" s="74">
        <f>33.069+6</f>
        <v>39.069000000000003</v>
      </c>
      <c r="H81" s="75">
        <f>46.57+10</f>
        <v>56.57</v>
      </c>
      <c r="I81" s="75">
        <v>33.143999999999998</v>
      </c>
      <c r="J81" s="73">
        <v>53030010003</v>
      </c>
      <c r="K81" s="30" t="s">
        <v>1956</v>
      </c>
      <c r="L81" s="30" t="s">
        <v>1957</v>
      </c>
      <c r="M81" s="22" t="s">
        <v>107</v>
      </c>
      <c r="N81" s="22" t="s">
        <v>374</v>
      </c>
      <c r="O81" s="73" t="s">
        <v>741</v>
      </c>
      <c r="P81" s="22" t="s">
        <v>888</v>
      </c>
      <c r="Q81" s="22" t="s">
        <v>373</v>
      </c>
      <c r="R81" s="22">
        <v>6</v>
      </c>
      <c r="S81" s="21">
        <v>32</v>
      </c>
      <c r="T81" s="22">
        <v>3</v>
      </c>
      <c r="U81" s="21">
        <v>0</v>
      </c>
      <c r="V81" s="21">
        <v>100</v>
      </c>
      <c r="W81" s="21">
        <v>10</v>
      </c>
      <c r="X81" s="21">
        <v>20</v>
      </c>
      <c r="Y81" s="94">
        <v>90</v>
      </c>
      <c r="Z81" s="116">
        <v>100</v>
      </c>
      <c r="AA81" s="111">
        <v>8000000</v>
      </c>
      <c r="AB81" s="49">
        <v>11285776714</v>
      </c>
      <c r="AC81" s="49">
        <v>41966868615</v>
      </c>
      <c r="AD81" s="29">
        <v>16861941217</v>
      </c>
      <c r="AE81" s="29">
        <f t="shared" si="2"/>
        <v>70122586546</v>
      </c>
      <c r="AF81" s="30" t="s">
        <v>365</v>
      </c>
    </row>
    <row r="82" spans="1:32" ht="138" x14ac:dyDescent="0.3">
      <c r="A82" s="148"/>
      <c r="B82" s="159">
        <v>0</v>
      </c>
      <c r="C82" s="148"/>
      <c r="D82" s="160">
        <v>0</v>
      </c>
      <c r="E82" s="75">
        <v>38.417999999999999</v>
      </c>
      <c r="F82" s="75">
        <f>14.677+10</f>
        <v>24.677</v>
      </c>
      <c r="G82" s="74">
        <v>14.499999999999998</v>
      </c>
      <c r="H82" s="75">
        <f>14.97+1.572</f>
        <v>16.542000000000002</v>
      </c>
      <c r="I82" s="75">
        <v>25.193999999999999</v>
      </c>
      <c r="J82" s="73">
        <v>53030010004</v>
      </c>
      <c r="K82" s="30" t="s">
        <v>1958</v>
      </c>
      <c r="L82" s="30" t="s">
        <v>1959</v>
      </c>
      <c r="M82" s="22" t="s">
        <v>107</v>
      </c>
      <c r="N82" s="22" t="s">
        <v>374</v>
      </c>
      <c r="O82" s="73" t="s">
        <v>889</v>
      </c>
      <c r="P82" s="22" t="s">
        <v>890</v>
      </c>
      <c r="Q82" s="22" t="s">
        <v>373</v>
      </c>
      <c r="R82" s="22">
        <v>6</v>
      </c>
      <c r="S82" s="21">
        <v>32</v>
      </c>
      <c r="T82" s="22">
        <v>3</v>
      </c>
      <c r="U82" s="21">
        <v>0</v>
      </c>
      <c r="V82" s="21">
        <v>100</v>
      </c>
      <c r="W82" s="21">
        <v>10</v>
      </c>
      <c r="X82" s="21">
        <v>20</v>
      </c>
      <c r="Y82" s="94">
        <v>40</v>
      </c>
      <c r="Z82" s="116">
        <v>100</v>
      </c>
      <c r="AA82" s="111">
        <v>51840000</v>
      </c>
      <c r="AB82" s="49">
        <v>103680000</v>
      </c>
      <c r="AC82" s="49">
        <v>238464000</v>
      </c>
      <c r="AD82" s="29">
        <v>57600000</v>
      </c>
      <c r="AE82" s="29">
        <f t="shared" si="2"/>
        <v>451584000</v>
      </c>
      <c r="AF82" s="30" t="s">
        <v>365</v>
      </c>
    </row>
    <row r="83" spans="1:32" ht="69" x14ac:dyDescent="0.3">
      <c r="A83" s="148"/>
      <c r="B83" s="159">
        <v>0</v>
      </c>
      <c r="C83" s="148"/>
      <c r="D83" s="160">
        <v>0</v>
      </c>
      <c r="E83" s="75">
        <v>38.417999999999999</v>
      </c>
      <c r="F83" s="75">
        <v>18.826000000000001</v>
      </c>
      <c r="G83" s="74">
        <f>19.215+2.608</f>
        <v>21.823</v>
      </c>
      <c r="H83" s="75">
        <f>20.888+6</f>
        <v>26.888000000000002</v>
      </c>
      <c r="I83" s="75">
        <v>14.732000000000001</v>
      </c>
      <c r="J83" s="73">
        <v>53030010005</v>
      </c>
      <c r="K83" s="30" t="s">
        <v>1960</v>
      </c>
      <c r="L83" s="30" t="s">
        <v>1961</v>
      </c>
      <c r="M83" s="22" t="s">
        <v>107</v>
      </c>
      <c r="N83" s="22" t="s">
        <v>373</v>
      </c>
      <c r="O83" s="73" t="s">
        <v>414</v>
      </c>
      <c r="P83" s="22" t="s">
        <v>891</v>
      </c>
      <c r="Q83" s="22" t="s">
        <v>373</v>
      </c>
      <c r="R83" s="22">
        <v>6</v>
      </c>
      <c r="S83" s="21">
        <v>32</v>
      </c>
      <c r="T83" s="22">
        <v>3</v>
      </c>
      <c r="U83" s="21">
        <v>3</v>
      </c>
      <c r="V83" s="21">
        <v>12</v>
      </c>
      <c r="W83" s="21">
        <v>5</v>
      </c>
      <c r="X83" s="21">
        <v>7</v>
      </c>
      <c r="Y83" s="94">
        <v>9</v>
      </c>
      <c r="Z83" s="116">
        <v>12</v>
      </c>
      <c r="AA83" s="87">
        <v>51840000</v>
      </c>
      <c r="AB83" s="29">
        <v>70000000</v>
      </c>
      <c r="AC83" s="29">
        <v>1000000000</v>
      </c>
      <c r="AD83" s="29">
        <v>1300000000</v>
      </c>
      <c r="AE83" s="29">
        <f t="shared" si="2"/>
        <v>2421840000</v>
      </c>
      <c r="AF83" s="30" t="s">
        <v>365</v>
      </c>
    </row>
    <row r="84" spans="1:32" ht="55.2" x14ac:dyDescent="0.3">
      <c r="A84" s="148"/>
      <c r="B84" s="159">
        <v>0</v>
      </c>
      <c r="C84" s="148" t="s">
        <v>1962</v>
      </c>
      <c r="D84" s="160">
        <v>35.753</v>
      </c>
      <c r="E84" s="75">
        <v>0</v>
      </c>
      <c r="F84" s="75">
        <v>35.665999999999997</v>
      </c>
      <c r="G84" s="75">
        <v>0</v>
      </c>
      <c r="H84" s="75">
        <v>0</v>
      </c>
      <c r="I84" s="75">
        <v>8.9169999999999998</v>
      </c>
      <c r="J84" s="73">
        <v>53030020001</v>
      </c>
      <c r="K84" s="30" t="s">
        <v>1963</v>
      </c>
      <c r="L84" s="30" t="s">
        <v>1964</v>
      </c>
      <c r="M84" s="22" t="s">
        <v>107</v>
      </c>
      <c r="N84" s="22" t="s">
        <v>373</v>
      </c>
      <c r="O84" s="73" t="s">
        <v>414</v>
      </c>
      <c r="P84" s="22" t="s">
        <v>892</v>
      </c>
      <c r="Q84" s="22" t="s">
        <v>373</v>
      </c>
      <c r="R84" s="22">
        <v>7</v>
      </c>
      <c r="S84" s="21">
        <v>21</v>
      </c>
      <c r="T84" s="22">
        <v>6</v>
      </c>
      <c r="U84" s="21">
        <v>0</v>
      </c>
      <c r="V84" s="21">
        <v>1</v>
      </c>
      <c r="W84" s="21">
        <v>0</v>
      </c>
      <c r="X84" s="21">
        <v>1</v>
      </c>
      <c r="Y84" s="94">
        <v>0</v>
      </c>
      <c r="Z84" s="116">
        <v>0</v>
      </c>
      <c r="AA84" s="87">
        <v>0</v>
      </c>
      <c r="AB84" s="29">
        <v>36202777720</v>
      </c>
      <c r="AC84" s="29">
        <v>0</v>
      </c>
      <c r="AD84" s="21">
        <v>0</v>
      </c>
      <c r="AE84" s="29">
        <f t="shared" si="2"/>
        <v>36202777720</v>
      </c>
      <c r="AF84" s="30" t="s">
        <v>365</v>
      </c>
    </row>
    <row r="85" spans="1:32" ht="69" x14ac:dyDescent="0.3">
      <c r="A85" s="148"/>
      <c r="B85" s="159">
        <v>0</v>
      </c>
      <c r="C85" s="148"/>
      <c r="D85" s="160">
        <v>0</v>
      </c>
      <c r="E85" s="75">
        <v>0</v>
      </c>
      <c r="F85" s="75">
        <v>26.733000000000001</v>
      </c>
      <c r="G85" s="75">
        <v>0</v>
      </c>
      <c r="H85" s="75">
        <v>0</v>
      </c>
      <c r="I85" s="75">
        <v>6.6829999999999998</v>
      </c>
      <c r="J85" s="73">
        <v>53030020002</v>
      </c>
      <c r="K85" s="30" t="s">
        <v>1965</v>
      </c>
      <c r="L85" s="30" t="s">
        <v>1966</v>
      </c>
      <c r="M85" s="22" t="s">
        <v>107</v>
      </c>
      <c r="N85" s="22" t="s">
        <v>373</v>
      </c>
      <c r="O85" s="73" t="s">
        <v>414</v>
      </c>
      <c r="P85" s="22" t="s">
        <v>893</v>
      </c>
      <c r="Q85" s="22" t="s">
        <v>373</v>
      </c>
      <c r="R85" s="22">
        <v>7</v>
      </c>
      <c r="S85" s="21">
        <v>21</v>
      </c>
      <c r="T85" s="22">
        <v>6</v>
      </c>
      <c r="U85" s="21">
        <v>0</v>
      </c>
      <c r="V85" s="21">
        <v>1</v>
      </c>
      <c r="W85" s="21">
        <v>0</v>
      </c>
      <c r="X85" s="21">
        <v>1</v>
      </c>
      <c r="Y85" s="94">
        <v>0</v>
      </c>
      <c r="Z85" s="116">
        <v>0</v>
      </c>
      <c r="AA85" s="87">
        <v>0</v>
      </c>
      <c r="AB85" s="29">
        <v>21672803120</v>
      </c>
      <c r="AC85" s="29">
        <v>0</v>
      </c>
      <c r="AD85" s="29">
        <v>0</v>
      </c>
      <c r="AE85" s="29">
        <f t="shared" si="2"/>
        <v>21672803120</v>
      </c>
      <c r="AF85" s="30" t="s">
        <v>365</v>
      </c>
    </row>
    <row r="86" spans="1:32" ht="55.2" x14ac:dyDescent="0.3">
      <c r="A86" s="148"/>
      <c r="B86" s="159">
        <v>0</v>
      </c>
      <c r="C86" s="148"/>
      <c r="D86" s="160">
        <v>0</v>
      </c>
      <c r="E86" s="75">
        <v>19.533000000000001</v>
      </c>
      <c r="F86" s="75">
        <v>8.8130000000000006</v>
      </c>
      <c r="G86" s="75">
        <v>21.607000000000003</v>
      </c>
      <c r="H86" s="75">
        <v>22.644000000000002</v>
      </c>
      <c r="I86" s="75">
        <v>18.149000000000001</v>
      </c>
      <c r="J86" s="73">
        <v>53030020003</v>
      </c>
      <c r="K86" s="30" t="s">
        <v>1967</v>
      </c>
      <c r="L86" s="30" t="s">
        <v>1968</v>
      </c>
      <c r="M86" s="22" t="s">
        <v>107</v>
      </c>
      <c r="N86" s="22" t="s">
        <v>894</v>
      </c>
      <c r="O86" s="73" t="s">
        <v>733</v>
      </c>
      <c r="P86" s="22" t="s">
        <v>895</v>
      </c>
      <c r="Q86" s="22" t="s">
        <v>375</v>
      </c>
      <c r="R86" s="22">
        <v>7</v>
      </c>
      <c r="S86" s="21">
        <v>21</v>
      </c>
      <c r="T86" s="22">
        <v>6</v>
      </c>
      <c r="U86" s="21">
        <v>63</v>
      </c>
      <c r="V86" s="21">
        <v>263</v>
      </c>
      <c r="W86" s="21">
        <v>115</v>
      </c>
      <c r="X86" s="21">
        <v>165</v>
      </c>
      <c r="Y86" s="94">
        <v>220</v>
      </c>
      <c r="Z86" s="116">
        <v>263</v>
      </c>
      <c r="AA86" s="87">
        <v>6644622000</v>
      </c>
      <c r="AB86" s="29">
        <v>3971824677</v>
      </c>
      <c r="AC86" s="29">
        <v>43981000000</v>
      </c>
      <c r="AD86" s="21">
        <v>2520000000</v>
      </c>
      <c r="AE86" s="29">
        <f t="shared" si="2"/>
        <v>57117446677</v>
      </c>
      <c r="AF86" s="30" t="s">
        <v>365</v>
      </c>
    </row>
    <row r="87" spans="1:32" ht="41.4" x14ac:dyDescent="0.3">
      <c r="A87" s="148"/>
      <c r="B87" s="159">
        <v>0</v>
      </c>
      <c r="C87" s="148"/>
      <c r="D87" s="160">
        <v>0</v>
      </c>
      <c r="E87" s="75">
        <v>22.582000000000001</v>
      </c>
      <c r="F87" s="75">
        <v>9.2590000000000003</v>
      </c>
      <c r="G87" s="75">
        <v>23.821999999999999</v>
      </c>
      <c r="H87" s="75">
        <v>27.578000000000003</v>
      </c>
      <c r="I87" s="75">
        <v>20.810000000000002</v>
      </c>
      <c r="J87" s="73">
        <v>53030020004</v>
      </c>
      <c r="K87" s="30" t="s">
        <v>1969</v>
      </c>
      <c r="L87" s="30" t="s">
        <v>1970</v>
      </c>
      <c r="M87" s="22" t="s">
        <v>107</v>
      </c>
      <c r="N87" s="22" t="s">
        <v>373</v>
      </c>
      <c r="O87" s="73" t="s">
        <v>414</v>
      </c>
      <c r="P87" s="22" t="s">
        <v>896</v>
      </c>
      <c r="Q87" s="22" t="s">
        <v>373</v>
      </c>
      <c r="R87" s="22">
        <v>7</v>
      </c>
      <c r="S87" s="21">
        <v>21</v>
      </c>
      <c r="T87" s="22">
        <v>6</v>
      </c>
      <c r="U87" s="21">
        <v>40</v>
      </c>
      <c r="V87" s="21">
        <v>162</v>
      </c>
      <c r="W87" s="21">
        <v>56</v>
      </c>
      <c r="X87" s="21">
        <v>91</v>
      </c>
      <c r="Y87" s="94">
        <v>116</v>
      </c>
      <c r="Z87" s="116">
        <v>162</v>
      </c>
      <c r="AA87" s="87">
        <v>7682189000</v>
      </c>
      <c r="AB87" s="29">
        <v>1650000000</v>
      </c>
      <c r="AC87" s="29">
        <v>2500000000</v>
      </c>
      <c r="AD87" s="49">
        <v>4500000000</v>
      </c>
      <c r="AE87" s="29">
        <f t="shared" si="2"/>
        <v>16332189000</v>
      </c>
      <c r="AF87" s="30" t="s">
        <v>365</v>
      </c>
    </row>
    <row r="88" spans="1:32" ht="55.2" x14ac:dyDescent="0.3">
      <c r="A88" s="148"/>
      <c r="B88" s="159">
        <v>0</v>
      </c>
      <c r="C88" s="148"/>
      <c r="D88" s="160">
        <v>0</v>
      </c>
      <c r="E88" s="75">
        <v>40.914000000000001</v>
      </c>
      <c r="F88" s="75">
        <v>11.174000000000001</v>
      </c>
      <c r="G88" s="75">
        <v>35.382000000000005</v>
      </c>
      <c r="H88" s="75">
        <v>32.640999999999998</v>
      </c>
      <c r="I88" s="75">
        <v>30.027999999999999</v>
      </c>
      <c r="J88" s="73">
        <v>53030020005</v>
      </c>
      <c r="K88" s="30" t="s">
        <v>1971</v>
      </c>
      <c r="L88" s="30" t="s">
        <v>1972</v>
      </c>
      <c r="M88" s="22" t="s">
        <v>107</v>
      </c>
      <c r="N88" s="22" t="s">
        <v>894</v>
      </c>
      <c r="O88" s="73" t="s">
        <v>414</v>
      </c>
      <c r="P88" s="22" t="s">
        <v>897</v>
      </c>
      <c r="Q88" s="22" t="s">
        <v>375</v>
      </c>
      <c r="R88" s="22">
        <v>7</v>
      </c>
      <c r="S88" s="21">
        <v>21</v>
      </c>
      <c r="T88" s="22">
        <v>6</v>
      </c>
      <c r="U88" s="21">
        <v>71</v>
      </c>
      <c r="V88" s="21">
        <v>242</v>
      </c>
      <c r="W88" s="33">
        <v>135.78</v>
      </c>
      <c r="X88" s="33">
        <v>165.19</v>
      </c>
      <c r="Y88" s="103">
        <v>199.07</v>
      </c>
      <c r="Z88" s="116">
        <v>242</v>
      </c>
      <c r="AA88" s="87">
        <v>18000000000</v>
      </c>
      <c r="AB88" s="29">
        <v>7498617915</v>
      </c>
      <c r="AC88" s="29">
        <v>9383060000</v>
      </c>
      <c r="AD88" s="29">
        <v>11089540000</v>
      </c>
      <c r="AE88" s="29">
        <f t="shared" si="2"/>
        <v>45971217915</v>
      </c>
      <c r="AF88" s="30" t="s">
        <v>365</v>
      </c>
    </row>
    <row r="89" spans="1:32" ht="69" x14ac:dyDescent="0.3">
      <c r="A89" s="148"/>
      <c r="B89" s="159">
        <v>0</v>
      </c>
      <c r="C89" s="148"/>
      <c r="D89" s="160">
        <v>0</v>
      </c>
      <c r="E89" s="75">
        <v>16.971</v>
      </c>
      <c r="F89" s="75">
        <v>8.3550000000000004</v>
      </c>
      <c r="G89" s="75">
        <v>19.189</v>
      </c>
      <c r="H89" s="75">
        <v>17.137</v>
      </c>
      <c r="I89" s="75">
        <v>15.412999999999998</v>
      </c>
      <c r="J89" s="73">
        <v>53030020006</v>
      </c>
      <c r="K89" s="30" t="s">
        <v>1973</v>
      </c>
      <c r="L89" s="30" t="s">
        <v>1974</v>
      </c>
      <c r="M89" s="22" t="s">
        <v>107</v>
      </c>
      <c r="N89" s="22" t="s">
        <v>373</v>
      </c>
      <c r="O89" s="73" t="s">
        <v>414</v>
      </c>
      <c r="P89" s="22" t="s">
        <v>898</v>
      </c>
      <c r="Q89" s="22" t="s">
        <v>373</v>
      </c>
      <c r="R89" s="22">
        <v>7</v>
      </c>
      <c r="S89" s="21">
        <v>21</v>
      </c>
      <c r="T89" s="22">
        <v>6</v>
      </c>
      <c r="U89" s="21">
        <v>8555</v>
      </c>
      <c r="V89" s="21">
        <v>44034</v>
      </c>
      <c r="W89" s="21">
        <v>17163</v>
      </c>
      <c r="X89" s="21">
        <v>25943</v>
      </c>
      <c r="Y89" s="94">
        <v>34899</v>
      </c>
      <c r="Z89" s="116">
        <v>44034</v>
      </c>
      <c r="AA89" s="87">
        <v>1690851019</v>
      </c>
      <c r="AB89" s="29">
        <v>2343619820</v>
      </c>
      <c r="AC89" s="29">
        <v>1768063186</v>
      </c>
      <c r="AD89" s="29">
        <v>1821105081</v>
      </c>
      <c r="AE89" s="29">
        <f t="shared" si="2"/>
        <v>7623639106</v>
      </c>
      <c r="AF89" s="30" t="s">
        <v>365</v>
      </c>
    </row>
    <row r="90" spans="1:32" ht="63.75" customHeight="1" x14ac:dyDescent="0.3">
      <c r="A90" s="148"/>
      <c r="B90" s="159">
        <v>0</v>
      </c>
      <c r="C90" s="148" t="s">
        <v>1975</v>
      </c>
      <c r="D90" s="160">
        <v>28.262999999999998</v>
      </c>
      <c r="E90" s="75">
        <v>41.143999999999998</v>
      </c>
      <c r="F90" s="75">
        <v>11.693000000000001</v>
      </c>
      <c r="G90" s="74">
        <f>10.85+12.643</f>
        <v>23.493000000000002</v>
      </c>
      <c r="H90" s="75">
        <f>7.69+6.747</f>
        <v>14.437000000000001</v>
      </c>
      <c r="I90" s="75">
        <v>17.844999999999999</v>
      </c>
      <c r="J90" s="73">
        <v>53030030001</v>
      </c>
      <c r="K90" s="30" t="s">
        <v>1976</v>
      </c>
      <c r="L90" s="30" t="s">
        <v>1977</v>
      </c>
      <c r="M90" s="22" t="s">
        <v>107</v>
      </c>
      <c r="N90" s="22" t="s">
        <v>374</v>
      </c>
      <c r="O90" s="73" t="s">
        <v>899</v>
      </c>
      <c r="P90" s="22" t="s">
        <v>900</v>
      </c>
      <c r="Q90" s="22" t="s">
        <v>373</v>
      </c>
      <c r="R90" s="22">
        <v>6</v>
      </c>
      <c r="S90" s="21">
        <v>32</v>
      </c>
      <c r="T90" s="22">
        <v>3</v>
      </c>
      <c r="U90" s="21">
        <v>0</v>
      </c>
      <c r="V90" s="21">
        <v>100</v>
      </c>
      <c r="W90" s="21">
        <v>10</v>
      </c>
      <c r="X90" s="21">
        <v>30</v>
      </c>
      <c r="Y90" s="94">
        <v>60</v>
      </c>
      <c r="Z90" s="121">
        <v>100</v>
      </c>
      <c r="AA90" s="87">
        <v>1160000000</v>
      </c>
      <c r="AB90" s="29">
        <v>1160000000</v>
      </c>
      <c r="AC90" s="29">
        <v>1160000000</v>
      </c>
      <c r="AD90" s="29">
        <v>1160000000</v>
      </c>
      <c r="AE90" s="29">
        <f t="shared" si="2"/>
        <v>4640000000</v>
      </c>
      <c r="AF90" s="30" t="s">
        <v>365</v>
      </c>
    </row>
    <row r="91" spans="1:32" ht="96.6" x14ac:dyDescent="0.3">
      <c r="A91" s="148"/>
      <c r="B91" s="159">
        <v>0</v>
      </c>
      <c r="C91" s="148"/>
      <c r="D91" s="160">
        <v>0</v>
      </c>
      <c r="E91" s="75">
        <v>0</v>
      </c>
      <c r="F91" s="75">
        <v>0</v>
      </c>
      <c r="G91" s="74">
        <f>7.122+3.186</f>
        <v>10.308</v>
      </c>
      <c r="H91" s="75">
        <f>7.819-0.7-7.119</f>
        <v>0</v>
      </c>
      <c r="I91" s="75">
        <v>3.7350000000000003</v>
      </c>
      <c r="J91" s="73">
        <v>53030030002</v>
      </c>
      <c r="K91" s="30" t="s">
        <v>1978</v>
      </c>
      <c r="L91" s="30" t="s">
        <v>1979</v>
      </c>
      <c r="M91" s="22" t="s">
        <v>107</v>
      </c>
      <c r="N91" s="22" t="s">
        <v>373</v>
      </c>
      <c r="O91" s="73" t="s">
        <v>381</v>
      </c>
      <c r="P91" s="22" t="s">
        <v>901</v>
      </c>
      <c r="Q91" s="22" t="s">
        <v>373</v>
      </c>
      <c r="R91" s="22">
        <v>6</v>
      </c>
      <c r="S91" s="21">
        <v>32</v>
      </c>
      <c r="T91" s="22">
        <v>10</v>
      </c>
      <c r="U91" s="21">
        <v>0</v>
      </c>
      <c r="V91" s="21">
        <v>1</v>
      </c>
      <c r="W91" s="21">
        <v>0</v>
      </c>
      <c r="X91" s="21">
        <v>0</v>
      </c>
      <c r="Y91" s="94">
        <v>1</v>
      </c>
      <c r="Z91" s="116">
        <v>0</v>
      </c>
      <c r="AA91" s="87">
        <v>0</v>
      </c>
      <c r="AB91" s="29">
        <v>0</v>
      </c>
      <c r="AC91" s="29">
        <v>274695400</v>
      </c>
      <c r="AD91" s="29">
        <v>0</v>
      </c>
      <c r="AE91" s="29">
        <f t="shared" si="2"/>
        <v>274695400</v>
      </c>
      <c r="AF91" s="30" t="s">
        <v>368</v>
      </c>
    </row>
    <row r="92" spans="1:32" ht="55.2" x14ac:dyDescent="0.3">
      <c r="A92" s="148"/>
      <c r="B92" s="159">
        <v>0</v>
      </c>
      <c r="C92" s="148"/>
      <c r="D92" s="160">
        <v>0</v>
      </c>
      <c r="E92" s="75">
        <v>0</v>
      </c>
      <c r="F92" s="75">
        <v>11.343</v>
      </c>
      <c r="G92" s="74">
        <f>12.643-12.643</f>
        <v>0</v>
      </c>
      <c r="H92" s="75">
        <f>20.203-7+8.264</f>
        <v>21.466999999999999</v>
      </c>
      <c r="I92" s="75">
        <v>11.797000000000001</v>
      </c>
      <c r="J92" s="73">
        <v>53030030003</v>
      </c>
      <c r="K92" s="30" t="s">
        <v>1980</v>
      </c>
      <c r="L92" s="30" t="s">
        <v>1981</v>
      </c>
      <c r="M92" s="22" t="s">
        <v>107</v>
      </c>
      <c r="N92" s="22" t="s">
        <v>373</v>
      </c>
      <c r="O92" s="73" t="s">
        <v>381</v>
      </c>
      <c r="P92" s="22" t="s">
        <v>902</v>
      </c>
      <c r="Q92" s="22" t="s">
        <v>373</v>
      </c>
      <c r="R92" s="22">
        <v>6</v>
      </c>
      <c r="S92" s="21">
        <v>32</v>
      </c>
      <c r="T92" s="22">
        <v>3</v>
      </c>
      <c r="U92" s="21">
        <v>0</v>
      </c>
      <c r="V92" s="21">
        <v>2</v>
      </c>
      <c r="W92" s="21">
        <v>0</v>
      </c>
      <c r="X92" s="48">
        <v>0.3</v>
      </c>
      <c r="Y92" s="94">
        <v>0</v>
      </c>
      <c r="Z92" s="48">
        <v>2</v>
      </c>
      <c r="AA92" s="87">
        <v>0</v>
      </c>
      <c r="AB92" s="29">
        <v>1050000000</v>
      </c>
      <c r="AC92" s="29">
        <v>0</v>
      </c>
      <c r="AD92" s="29">
        <v>5950000000</v>
      </c>
      <c r="AE92" s="29">
        <f t="shared" si="2"/>
        <v>7000000000</v>
      </c>
      <c r="AF92" s="30" t="s">
        <v>365</v>
      </c>
    </row>
    <row r="93" spans="1:32" ht="69" x14ac:dyDescent="0.3">
      <c r="A93" s="148"/>
      <c r="B93" s="159">
        <v>0</v>
      </c>
      <c r="C93" s="148"/>
      <c r="D93" s="160">
        <v>0</v>
      </c>
      <c r="E93" s="75">
        <v>58.855999999999995</v>
      </c>
      <c r="F93" s="75">
        <f>16.704+4.271</f>
        <v>20.975000000000001</v>
      </c>
      <c r="G93" s="74">
        <f>16.775+16+5</f>
        <v>37.774999999999999</v>
      </c>
      <c r="H93" s="75">
        <f>29.345-10-19.345</f>
        <v>0</v>
      </c>
      <c r="I93" s="75">
        <v>32.92</v>
      </c>
      <c r="J93" s="73">
        <v>53030030004</v>
      </c>
      <c r="K93" s="30" t="s">
        <v>1982</v>
      </c>
      <c r="L93" s="30" t="s">
        <v>1983</v>
      </c>
      <c r="M93" s="22" t="s">
        <v>107</v>
      </c>
      <c r="N93" s="22" t="s">
        <v>373</v>
      </c>
      <c r="O93" s="73" t="s">
        <v>381</v>
      </c>
      <c r="P93" s="22" t="s">
        <v>903</v>
      </c>
      <c r="Q93" s="22" t="s">
        <v>373</v>
      </c>
      <c r="R93" s="22">
        <v>6</v>
      </c>
      <c r="S93" s="21">
        <v>40</v>
      </c>
      <c r="T93" s="22">
        <v>3</v>
      </c>
      <c r="U93" s="21">
        <v>17</v>
      </c>
      <c r="V93" s="21">
        <v>29</v>
      </c>
      <c r="W93" s="21">
        <v>19</v>
      </c>
      <c r="X93" s="21">
        <v>23</v>
      </c>
      <c r="Y93" s="94">
        <v>25</v>
      </c>
      <c r="Z93" s="116">
        <v>0</v>
      </c>
      <c r="AA93" s="111">
        <v>7041241631</v>
      </c>
      <c r="AB93" s="21">
        <v>10803478247</v>
      </c>
      <c r="AC93" s="21">
        <v>9669201924</v>
      </c>
      <c r="AD93" s="29">
        <v>0</v>
      </c>
      <c r="AE93" s="29">
        <f t="shared" si="2"/>
        <v>27513921802</v>
      </c>
      <c r="AF93" s="30" t="s">
        <v>359</v>
      </c>
    </row>
    <row r="94" spans="1:32" ht="55.2" x14ac:dyDescent="0.3">
      <c r="A94" s="148"/>
      <c r="B94" s="159">
        <v>0</v>
      </c>
      <c r="C94" s="148"/>
      <c r="D94" s="160">
        <v>0</v>
      </c>
      <c r="E94" s="75">
        <v>0</v>
      </c>
      <c r="F94" s="75">
        <f>10.319-10.319</f>
        <v>0</v>
      </c>
      <c r="G94" s="74">
        <f>8.186-3.186-5</f>
        <v>0</v>
      </c>
      <c r="H94" s="75">
        <f>8.264-8.264</f>
        <v>0</v>
      </c>
      <c r="I94" s="75">
        <v>6.6919999999999993</v>
      </c>
      <c r="J94" s="73">
        <v>53030030005</v>
      </c>
      <c r="K94" s="30" t="s">
        <v>1984</v>
      </c>
      <c r="L94" s="30" t="s">
        <v>1985</v>
      </c>
      <c r="M94" s="22" t="s">
        <v>107</v>
      </c>
      <c r="N94" s="22" t="s">
        <v>373</v>
      </c>
      <c r="O94" s="73" t="s">
        <v>381</v>
      </c>
      <c r="P94" s="22" t="s">
        <v>904</v>
      </c>
      <c r="Q94" s="22" t="s">
        <v>373</v>
      </c>
      <c r="R94" s="22">
        <v>6</v>
      </c>
      <c r="S94" s="21">
        <v>40</v>
      </c>
      <c r="T94" s="22">
        <v>3</v>
      </c>
      <c r="U94" s="21">
        <v>217</v>
      </c>
      <c r="V94" s="21">
        <v>343</v>
      </c>
      <c r="W94" s="21">
        <v>0</v>
      </c>
      <c r="X94" s="21">
        <v>0</v>
      </c>
      <c r="Y94" s="94">
        <v>0</v>
      </c>
      <c r="Z94" s="116">
        <v>0</v>
      </c>
      <c r="AA94" s="87">
        <v>0</v>
      </c>
      <c r="AB94" s="29">
        <v>0</v>
      </c>
      <c r="AC94" s="29">
        <v>0</v>
      </c>
      <c r="AD94" s="29">
        <v>0</v>
      </c>
      <c r="AE94" s="29">
        <f t="shared" si="2"/>
        <v>0</v>
      </c>
      <c r="AF94" s="30" t="s">
        <v>359</v>
      </c>
    </row>
    <row r="95" spans="1:32" ht="69" x14ac:dyDescent="0.3">
      <c r="A95" s="148"/>
      <c r="B95" s="159">
        <v>0</v>
      </c>
      <c r="C95" s="148"/>
      <c r="D95" s="160">
        <v>0</v>
      </c>
      <c r="E95" s="75">
        <v>0</v>
      </c>
      <c r="F95" s="75">
        <f>8.271+5</f>
        <v>13.271000000000001</v>
      </c>
      <c r="G95" s="74">
        <f>13.652+7.772+7</f>
        <v>28.423999999999999</v>
      </c>
      <c r="H95" s="75">
        <f>19.132-9+7.119</f>
        <v>17.251000000000001</v>
      </c>
      <c r="I95" s="75">
        <v>12.764000000000001</v>
      </c>
      <c r="J95" s="73">
        <v>53030030006</v>
      </c>
      <c r="K95" s="30" t="s">
        <v>1986</v>
      </c>
      <c r="L95" s="30" t="s">
        <v>1987</v>
      </c>
      <c r="M95" s="22" t="s">
        <v>144</v>
      </c>
      <c r="N95" s="22" t="s">
        <v>373</v>
      </c>
      <c r="O95" s="73" t="s">
        <v>381</v>
      </c>
      <c r="P95" s="22" t="s">
        <v>905</v>
      </c>
      <c r="Q95" s="22" t="s">
        <v>373</v>
      </c>
      <c r="R95" s="22">
        <v>6</v>
      </c>
      <c r="S95" s="21">
        <v>40</v>
      </c>
      <c r="T95" s="22">
        <v>3</v>
      </c>
      <c r="U95" s="21">
        <v>17</v>
      </c>
      <c r="V95" s="21">
        <v>17</v>
      </c>
      <c r="W95" s="21">
        <v>0</v>
      </c>
      <c r="X95" s="21">
        <v>6</v>
      </c>
      <c r="Y95" s="94">
        <v>8</v>
      </c>
      <c r="Z95" s="116">
        <v>17</v>
      </c>
      <c r="AA95" s="87">
        <v>0</v>
      </c>
      <c r="AB95" s="29">
        <v>4175996775</v>
      </c>
      <c r="AC95" s="29">
        <v>2684588289</v>
      </c>
      <c r="AD95" s="21">
        <v>4896791005</v>
      </c>
      <c r="AE95" s="29">
        <f t="shared" si="2"/>
        <v>11757376069</v>
      </c>
      <c r="AF95" s="30" t="s">
        <v>359</v>
      </c>
    </row>
    <row r="96" spans="1:32" ht="55.2" x14ac:dyDescent="0.3">
      <c r="A96" s="148"/>
      <c r="B96" s="159">
        <v>0</v>
      </c>
      <c r="C96" s="148"/>
      <c r="D96" s="160">
        <v>0</v>
      </c>
      <c r="E96" s="75">
        <v>0</v>
      </c>
      <c r="F96" s="75">
        <f>9.271-5-4.271</f>
        <v>0</v>
      </c>
      <c r="G96" s="74">
        <f>7.772-7.772</f>
        <v>0</v>
      </c>
      <c r="H96" s="75">
        <f>7.547-0.8-6.747</f>
        <v>0</v>
      </c>
      <c r="I96" s="75">
        <v>6.1469999999999994</v>
      </c>
      <c r="J96" s="73">
        <v>53030030007</v>
      </c>
      <c r="K96" s="30" t="s">
        <v>1988</v>
      </c>
      <c r="L96" s="30" t="s">
        <v>1989</v>
      </c>
      <c r="M96" s="22" t="s">
        <v>107</v>
      </c>
      <c r="N96" s="22" t="s">
        <v>373</v>
      </c>
      <c r="O96" s="73" t="s">
        <v>381</v>
      </c>
      <c r="P96" s="22" t="s">
        <v>906</v>
      </c>
      <c r="Q96" s="22" t="s">
        <v>373</v>
      </c>
      <c r="R96" s="22">
        <v>6</v>
      </c>
      <c r="S96" s="21">
        <v>40</v>
      </c>
      <c r="T96" s="22">
        <v>3</v>
      </c>
      <c r="U96" s="21">
        <v>0</v>
      </c>
      <c r="V96" s="21">
        <v>100</v>
      </c>
      <c r="W96" s="21">
        <v>0</v>
      </c>
      <c r="X96" s="21">
        <v>0</v>
      </c>
      <c r="Y96" s="94">
        <v>0</v>
      </c>
      <c r="Z96" s="116">
        <v>0</v>
      </c>
      <c r="AA96" s="87">
        <v>0</v>
      </c>
      <c r="AB96" s="29">
        <v>0</v>
      </c>
      <c r="AC96" s="29">
        <v>0</v>
      </c>
      <c r="AD96" s="29">
        <v>0</v>
      </c>
      <c r="AE96" s="29">
        <f t="shared" si="2"/>
        <v>0</v>
      </c>
      <c r="AF96" s="30" t="s">
        <v>359</v>
      </c>
    </row>
    <row r="97" spans="1:32" ht="82.8" x14ac:dyDescent="0.3">
      <c r="A97" s="148"/>
      <c r="B97" s="159">
        <v>0</v>
      </c>
      <c r="C97" s="148"/>
      <c r="D97" s="160">
        <v>0</v>
      </c>
      <c r="E97" s="75">
        <v>0</v>
      </c>
      <c r="F97" s="75">
        <f>32.399+10.319</f>
        <v>42.718000000000004</v>
      </c>
      <c r="G97" s="74">
        <f>23-7-16</f>
        <v>0</v>
      </c>
      <c r="H97" s="75">
        <f>0+7+10+9+0.7+0.8+19.345</f>
        <v>46.844999999999999</v>
      </c>
      <c r="I97" s="75">
        <v>8.1</v>
      </c>
      <c r="J97" s="73">
        <v>53030030008</v>
      </c>
      <c r="K97" s="30" t="s">
        <v>1990</v>
      </c>
      <c r="L97" s="30" t="s">
        <v>1991</v>
      </c>
      <c r="M97" s="22" t="s">
        <v>107</v>
      </c>
      <c r="N97" s="22" t="s">
        <v>374</v>
      </c>
      <c r="O97" s="73" t="s">
        <v>907</v>
      </c>
      <c r="P97" s="22" t="s">
        <v>908</v>
      </c>
      <c r="Q97" s="22" t="s">
        <v>373</v>
      </c>
      <c r="R97" s="22">
        <v>6</v>
      </c>
      <c r="S97" s="21">
        <v>32</v>
      </c>
      <c r="T97" s="22">
        <v>3</v>
      </c>
      <c r="U97" s="21">
        <v>57</v>
      </c>
      <c r="V97" s="21">
        <v>100</v>
      </c>
      <c r="W97" s="21">
        <v>0</v>
      </c>
      <c r="X97" s="21">
        <v>78</v>
      </c>
      <c r="Y97" s="94">
        <v>0</v>
      </c>
      <c r="Z97" s="116">
        <v>100</v>
      </c>
      <c r="AA97" s="87">
        <v>0</v>
      </c>
      <c r="AB97" s="29">
        <v>31951566032</v>
      </c>
      <c r="AC97" s="29">
        <v>0</v>
      </c>
      <c r="AD97" s="21">
        <v>69519873303</v>
      </c>
      <c r="AE97" s="29">
        <f t="shared" si="2"/>
        <v>101471439335</v>
      </c>
      <c r="AF97" s="30" t="s">
        <v>365</v>
      </c>
    </row>
    <row r="98" spans="1:32" ht="38.25" customHeight="1" x14ac:dyDescent="0.3">
      <c r="A98" s="148"/>
      <c r="B98" s="159">
        <v>0</v>
      </c>
      <c r="C98" s="148" t="s">
        <v>1992</v>
      </c>
      <c r="D98" s="160">
        <v>20.849999999999998</v>
      </c>
      <c r="E98" s="75">
        <v>52.742999999999995</v>
      </c>
      <c r="F98" s="75">
        <v>55.271999999999998</v>
      </c>
      <c r="G98" s="75">
        <v>55.120999999999995</v>
      </c>
      <c r="H98" s="75">
        <v>64.246000000000009</v>
      </c>
      <c r="I98" s="75">
        <v>56.833999999999996</v>
      </c>
      <c r="J98" s="73">
        <v>53030040001</v>
      </c>
      <c r="K98" s="30" t="s">
        <v>1993</v>
      </c>
      <c r="L98" s="30" t="s">
        <v>1994</v>
      </c>
      <c r="M98" s="22" t="s">
        <v>107</v>
      </c>
      <c r="N98" s="22" t="s">
        <v>373</v>
      </c>
      <c r="O98" s="73" t="s">
        <v>381</v>
      </c>
      <c r="P98" s="22" t="s">
        <v>909</v>
      </c>
      <c r="Q98" s="22" t="s">
        <v>373</v>
      </c>
      <c r="R98" s="22">
        <v>3</v>
      </c>
      <c r="S98" s="21">
        <v>32</v>
      </c>
      <c r="T98" s="22">
        <v>10</v>
      </c>
      <c r="U98" s="21">
        <v>1</v>
      </c>
      <c r="V98" s="21">
        <v>3</v>
      </c>
      <c r="W98" s="21">
        <v>1</v>
      </c>
      <c r="X98" s="21">
        <v>1</v>
      </c>
      <c r="Y98" s="94">
        <v>2</v>
      </c>
      <c r="Z98" s="116">
        <v>3</v>
      </c>
      <c r="AA98" s="87">
        <v>1385620148</v>
      </c>
      <c r="AB98" s="29">
        <v>411111200</v>
      </c>
      <c r="AC98" s="29">
        <v>990546064</v>
      </c>
      <c r="AD98" s="21">
        <v>374490000</v>
      </c>
      <c r="AE98" s="29">
        <f t="shared" si="2"/>
        <v>3161767412</v>
      </c>
      <c r="AF98" s="30" t="s">
        <v>368</v>
      </c>
    </row>
    <row r="99" spans="1:32" ht="55.2" x14ac:dyDescent="0.3">
      <c r="A99" s="148"/>
      <c r="B99" s="159">
        <v>0</v>
      </c>
      <c r="C99" s="148"/>
      <c r="D99" s="160">
        <v>0</v>
      </c>
      <c r="E99" s="75">
        <v>47.256999999999998</v>
      </c>
      <c r="F99" s="75">
        <v>44.728000000000002</v>
      </c>
      <c r="G99" s="75">
        <v>44.879000000000005</v>
      </c>
      <c r="H99" s="75">
        <v>35.754000000000005</v>
      </c>
      <c r="I99" s="75">
        <v>43.165999999999997</v>
      </c>
      <c r="J99" s="73">
        <v>53030040002</v>
      </c>
      <c r="K99" s="30" t="s">
        <v>1995</v>
      </c>
      <c r="L99" s="30" t="s">
        <v>1996</v>
      </c>
      <c r="M99" s="22" t="s">
        <v>144</v>
      </c>
      <c r="N99" s="22" t="s">
        <v>373</v>
      </c>
      <c r="O99" s="73" t="s">
        <v>381</v>
      </c>
      <c r="P99" s="22" t="s">
        <v>910</v>
      </c>
      <c r="Q99" s="22" t="s">
        <v>373</v>
      </c>
      <c r="R99" s="22">
        <v>3</v>
      </c>
      <c r="S99" s="21">
        <v>32</v>
      </c>
      <c r="T99" s="22">
        <v>10</v>
      </c>
      <c r="U99" s="21">
        <v>1</v>
      </c>
      <c r="V99" s="21">
        <v>1</v>
      </c>
      <c r="W99" s="33">
        <v>0.15</v>
      </c>
      <c r="X99" s="33">
        <v>0.35</v>
      </c>
      <c r="Y99" s="102">
        <v>0.8</v>
      </c>
      <c r="Z99" s="123">
        <v>1</v>
      </c>
      <c r="AA99" s="87">
        <v>1241512976</v>
      </c>
      <c r="AB99" s="29">
        <v>417766000</v>
      </c>
      <c r="AC99" s="29">
        <v>1269910187</v>
      </c>
      <c r="AD99" s="21">
        <v>394198000</v>
      </c>
      <c r="AE99" s="29">
        <f t="shared" si="2"/>
        <v>3323387163</v>
      </c>
      <c r="AF99" s="30" t="s">
        <v>368</v>
      </c>
    </row>
    <row r="100" spans="1:32" x14ac:dyDescent="0.3">
      <c r="A100" s="24"/>
      <c r="B100" s="38"/>
      <c r="C100" s="24"/>
      <c r="D100" s="39"/>
      <c r="E100" s="35"/>
      <c r="F100" s="35"/>
      <c r="G100" s="35"/>
      <c r="H100" s="35"/>
      <c r="I100" s="35"/>
      <c r="J100" s="24"/>
      <c r="K100" s="40"/>
      <c r="L100" s="40"/>
      <c r="M100" s="41"/>
      <c r="N100" s="41"/>
      <c r="O100" s="24"/>
      <c r="P100" s="41"/>
      <c r="Q100" s="41"/>
      <c r="R100" s="41"/>
      <c r="S100" s="52"/>
      <c r="T100" s="41"/>
      <c r="U100" s="52"/>
      <c r="V100" s="52"/>
      <c r="W100" s="52"/>
      <c r="X100" s="52"/>
      <c r="Y100" s="52"/>
      <c r="Z100" s="55"/>
      <c r="AA100" s="52"/>
      <c r="AB100" s="52"/>
      <c r="AC100" s="52"/>
      <c r="AD100" s="21"/>
      <c r="AE100" s="53"/>
      <c r="AF100" s="40"/>
    </row>
    <row r="101" spans="1:32" ht="55.2" x14ac:dyDescent="0.3">
      <c r="A101" s="148" t="s">
        <v>1997</v>
      </c>
      <c r="B101" s="159">
        <v>32.988</v>
      </c>
      <c r="C101" s="148" t="s">
        <v>1998</v>
      </c>
      <c r="D101" s="160">
        <v>15.057</v>
      </c>
      <c r="E101" s="75">
        <v>44.058</v>
      </c>
      <c r="F101" s="75">
        <f>40.606+7</f>
        <v>47.606000000000002</v>
      </c>
      <c r="G101" s="75">
        <f>32.908+7.314</f>
        <v>40.222000000000001</v>
      </c>
      <c r="H101" s="75">
        <v>42.531999999999996</v>
      </c>
      <c r="I101" s="75">
        <v>40.026000000000003</v>
      </c>
      <c r="J101" s="73">
        <v>53040010001</v>
      </c>
      <c r="K101" s="30" t="s">
        <v>1999</v>
      </c>
      <c r="L101" s="30" t="s">
        <v>2000</v>
      </c>
      <c r="M101" s="22" t="s">
        <v>107</v>
      </c>
      <c r="N101" s="22" t="s">
        <v>377</v>
      </c>
      <c r="O101" s="73" t="s">
        <v>5</v>
      </c>
      <c r="P101" s="22" t="s">
        <v>911</v>
      </c>
      <c r="Q101" s="22" t="s">
        <v>377</v>
      </c>
      <c r="R101" s="22">
        <v>11</v>
      </c>
      <c r="S101" s="21">
        <v>24</v>
      </c>
      <c r="T101" s="22">
        <v>9</v>
      </c>
      <c r="U101" s="21">
        <v>1026167</v>
      </c>
      <c r="V101" s="21">
        <v>1410571</v>
      </c>
      <c r="W101" s="21">
        <v>1120571</v>
      </c>
      <c r="X101" s="21">
        <v>1200813</v>
      </c>
      <c r="Y101" s="94">
        <v>1339177</v>
      </c>
      <c r="Z101" s="116">
        <v>1410571</v>
      </c>
      <c r="AA101" s="105">
        <v>28711866014</v>
      </c>
      <c r="AB101" s="49">
        <v>41690918997</v>
      </c>
      <c r="AC101" s="49">
        <v>15191737780</v>
      </c>
      <c r="AD101" s="21">
        <v>7053510398</v>
      </c>
      <c r="AE101" s="29">
        <f>SUM(AA101:AD101)</f>
        <v>92648033189</v>
      </c>
      <c r="AF101" s="30" t="s">
        <v>367</v>
      </c>
    </row>
    <row r="102" spans="1:32" ht="55.2" x14ac:dyDescent="0.3">
      <c r="A102" s="148"/>
      <c r="B102" s="159">
        <v>0</v>
      </c>
      <c r="C102" s="148"/>
      <c r="D102" s="160">
        <v>0</v>
      </c>
      <c r="E102" s="75">
        <v>0</v>
      </c>
      <c r="F102" s="75">
        <f>17.084-7-5-5.084</f>
        <v>0</v>
      </c>
      <c r="G102" s="75">
        <f>22.314-15-7.314+8+10.5</f>
        <v>18.5</v>
      </c>
      <c r="H102" s="75">
        <f>18.662+10</f>
        <v>28.661999999999999</v>
      </c>
      <c r="I102" s="75">
        <v>14.515000000000001</v>
      </c>
      <c r="J102" s="73">
        <v>53040010002</v>
      </c>
      <c r="K102" s="30" t="s">
        <v>2001</v>
      </c>
      <c r="L102" s="30" t="s">
        <v>2002</v>
      </c>
      <c r="M102" s="22" t="s">
        <v>107</v>
      </c>
      <c r="N102" s="22" t="s">
        <v>373</v>
      </c>
      <c r="O102" s="73" t="s">
        <v>756</v>
      </c>
      <c r="P102" s="22" t="s">
        <v>912</v>
      </c>
      <c r="Q102" s="22" t="s">
        <v>373</v>
      </c>
      <c r="R102" s="22">
        <v>11</v>
      </c>
      <c r="S102" s="21">
        <v>24</v>
      </c>
      <c r="T102" s="22">
        <v>9</v>
      </c>
      <c r="U102" s="21">
        <v>26</v>
      </c>
      <c r="V102" s="21">
        <v>33</v>
      </c>
      <c r="W102" s="21">
        <v>0</v>
      </c>
      <c r="X102" s="21">
        <v>0</v>
      </c>
      <c r="Y102" s="94">
        <v>27</v>
      </c>
      <c r="Z102" s="116">
        <v>33</v>
      </c>
      <c r="AA102" s="111">
        <v>0</v>
      </c>
      <c r="AB102" s="21">
        <v>0</v>
      </c>
      <c r="AC102" s="21">
        <v>749511992</v>
      </c>
      <c r="AD102" s="29">
        <v>2013307962</v>
      </c>
      <c r="AE102" s="29">
        <f t="shared" ref="AE102:AE143" si="3">SUM(AA102:AD102)</f>
        <v>2762819954</v>
      </c>
      <c r="AF102" s="30" t="s">
        <v>1142</v>
      </c>
    </row>
    <row r="103" spans="1:32" ht="124.2" x14ac:dyDescent="0.3">
      <c r="A103" s="148"/>
      <c r="B103" s="159">
        <v>0</v>
      </c>
      <c r="C103" s="148"/>
      <c r="D103" s="160">
        <v>0</v>
      </c>
      <c r="E103" s="75">
        <v>27.154</v>
      </c>
      <c r="F103" s="75">
        <f>17.869+5</f>
        <v>22.869</v>
      </c>
      <c r="G103" s="75">
        <f>17.598+15-8</f>
        <v>24.597999999999999</v>
      </c>
      <c r="H103" s="75">
        <v>16.41</v>
      </c>
      <c r="I103" s="75">
        <v>19.757999999999999</v>
      </c>
      <c r="J103" s="73">
        <v>53040010003</v>
      </c>
      <c r="K103" s="30" t="s">
        <v>2003</v>
      </c>
      <c r="L103" s="30" t="s">
        <v>2004</v>
      </c>
      <c r="M103" s="22" t="s">
        <v>144</v>
      </c>
      <c r="N103" s="22" t="s">
        <v>373</v>
      </c>
      <c r="O103" s="73" t="s">
        <v>419</v>
      </c>
      <c r="P103" s="22" t="s">
        <v>913</v>
      </c>
      <c r="Q103" s="22" t="s">
        <v>373</v>
      </c>
      <c r="R103" s="22">
        <v>11</v>
      </c>
      <c r="S103" s="21">
        <v>24</v>
      </c>
      <c r="T103" s="22">
        <v>9</v>
      </c>
      <c r="U103" s="21">
        <v>207</v>
      </c>
      <c r="V103" s="21">
        <v>244</v>
      </c>
      <c r="W103" s="21">
        <v>209</v>
      </c>
      <c r="X103" s="21">
        <v>215</v>
      </c>
      <c r="Y103" s="94">
        <v>242</v>
      </c>
      <c r="Z103" s="116">
        <v>244</v>
      </c>
      <c r="AA103" s="87">
        <v>44768137</v>
      </c>
      <c r="AB103" s="29">
        <v>427010490</v>
      </c>
      <c r="AC103" s="29">
        <v>1307021063</v>
      </c>
      <c r="AD103" s="29">
        <v>887889178</v>
      </c>
      <c r="AE103" s="29">
        <f t="shared" si="3"/>
        <v>2666688868</v>
      </c>
      <c r="AF103" s="30" t="s">
        <v>1142</v>
      </c>
    </row>
    <row r="104" spans="1:32" ht="110.4" x14ac:dyDescent="0.3">
      <c r="A104" s="148"/>
      <c r="B104" s="159">
        <v>0</v>
      </c>
      <c r="C104" s="148"/>
      <c r="D104" s="160">
        <v>0</v>
      </c>
      <c r="E104" s="75">
        <v>28.788000000000004</v>
      </c>
      <c r="F104" s="75">
        <f>24.441+5.084</f>
        <v>29.524999999999999</v>
      </c>
      <c r="G104" s="75">
        <f>27.18-10.5</f>
        <v>16.68</v>
      </c>
      <c r="H104" s="75">
        <f>22.396-10</f>
        <v>12.396000000000001</v>
      </c>
      <c r="I104" s="75">
        <v>25.701000000000001</v>
      </c>
      <c r="J104" s="73">
        <v>53040010004</v>
      </c>
      <c r="K104" s="30" t="s">
        <v>2005</v>
      </c>
      <c r="L104" s="30" t="s">
        <v>2006</v>
      </c>
      <c r="M104" s="22" t="s">
        <v>144</v>
      </c>
      <c r="N104" s="22" t="s">
        <v>377</v>
      </c>
      <c r="O104" s="73" t="s">
        <v>419</v>
      </c>
      <c r="P104" s="22" t="s">
        <v>914</v>
      </c>
      <c r="Q104" s="22" t="s">
        <v>377</v>
      </c>
      <c r="R104" s="22">
        <v>11</v>
      </c>
      <c r="S104" s="21">
        <v>24</v>
      </c>
      <c r="T104" s="22">
        <v>9</v>
      </c>
      <c r="U104" s="21">
        <v>97068</v>
      </c>
      <c r="V104" s="21">
        <v>125968</v>
      </c>
      <c r="W104" s="21">
        <v>98068</v>
      </c>
      <c r="X104" s="21">
        <v>100117</v>
      </c>
      <c r="Y104" s="94">
        <v>103007.37</v>
      </c>
      <c r="Z104" s="116">
        <v>125968</v>
      </c>
      <c r="AA104" s="87">
        <v>228274762</v>
      </c>
      <c r="AB104" s="29">
        <v>553653326</v>
      </c>
      <c r="AC104" s="29">
        <v>361906182</v>
      </c>
      <c r="AD104" s="29">
        <v>393000816</v>
      </c>
      <c r="AE104" s="29">
        <f t="shared" si="3"/>
        <v>1536835086</v>
      </c>
      <c r="AF104" s="30" t="s">
        <v>1142</v>
      </c>
    </row>
    <row r="105" spans="1:32" ht="55.2" x14ac:dyDescent="0.3">
      <c r="A105" s="148"/>
      <c r="B105" s="159">
        <v>0</v>
      </c>
      <c r="C105" s="148" t="s">
        <v>2007</v>
      </c>
      <c r="D105" s="160">
        <v>10.209</v>
      </c>
      <c r="E105" s="75">
        <v>48.762999999999998</v>
      </c>
      <c r="F105" s="75">
        <f>16.15+5</f>
        <v>21.15</v>
      </c>
      <c r="G105" s="74">
        <f>20.551-2+4</f>
        <v>22.550999999999998</v>
      </c>
      <c r="H105" s="75">
        <v>19.336000000000002</v>
      </c>
      <c r="I105" s="75">
        <v>20.028000000000002</v>
      </c>
      <c r="J105" s="73">
        <v>53040020001</v>
      </c>
      <c r="K105" s="30" t="s">
        <v>2008</v>
      </c>
      <c r="L105" s="30" t="s">
        <v>2009</v>
      </c>
      <c r="M105" s="22" t="s">
        <v>107</v>
      </c>
      <c r="N105" s="22" t="s">
        <v>375</v>
      </c>
      <c r="O105" s="73" t="s">
        <v>5</v>
      </c>
      <c r="P105" s="22" t="s">
        <v>915</v>
      </c>
      <c r="Q105" s="22" t="s">
        <v>375</v>
      </c>
      <c r="R105" s="22">
        <v>11</v>
      </c>
      <c r="S105" s="21">
        <v>24</v>
      </c>
      <c r="T105" s="22">
        <v>9</v>
      </c>
      <c r="U105" s="48">
        <v>91.74</v>
      </c>
      <c r="V105" s="48">
        <v>100.5</v>
      </c>
      <c r="W105" s="48">
        <v>92.9</v>
      </c>
      <c r="X105" s="48">
        <v>95.2</v>
      </c>
      <c r="Y105" s="102">
        <v>97.6</v>
      </c>
      <c r="Z105" s="121">
        <v>100.5</v>
      </c>
      <c r="AA105" s="87">
        <v>487227659</v>
      </c>
      <c r="AB105" s="29">
        <v>1267213245</v>
      </c>
      <c r="AC105" s="29">
        <v>2026966040</v>
      </c>
      <c r="AD105" s="29">
        <v>617690988</v>
      </c>
      <c r="AE105" s="29">
        <f t="shared" si="3"/>
        <v>4399097932</v>
      </c>
      <c r="AF105" s="30" t="s">
        <v>367</v>
      </c>
    </row>
    <row r="106" spans="1:32" ht="55.2" x14ac:dyDescent="0.3">
      <c r="A106" s="148"/>
      <c r="B106" s="159">
        <v>0</v>
      </c>
      <c r="C106" s="148"/>
      <c r="D106" s="160">
        <v>0</v>
      </c>
      <c r="E106" s="75">
        <v>51.237000000000002</v>
      </c>
      <c r="F106" s="75">
        <f>24.183+5.039-5.039</f>
        <v>24.183</v>
      </c>
      <c r="G106" s="74">
        <f>14.174+5</f>
        <v>19.173999999999999</v>
      </c>
      <c r="H106" s="75">
        <f>22.837+7+2.77</f>
        <v>32.606999999999999</v>
      </c>
      <c r="I106" s="75">
        <v>22.348000000000003</v>
      </c>
      <c r="J106" s="73">
        <v>53040020002</v>
      </c>
      <c r="K106" s="30" t="s">
        <v>2010</v>
      </c>
      <c r="L106" s="30" t="s">
        <v>2011</v>
      </c>
      <c r="M106" s="22" t="s">
        <v>107</v>
      </c>
      <c r="N106" s="22" t="s">
        <v>373</v>
      </c>
      <c r="O106" s="73" t="s">
        <v>5</v>
      </c>
      <c r="P106" s="22" t="s">
        <v>916</v>
      </c>
      <c r="Q106" s="22" t="s">
        <v>373</v>
      </c>
      <c r="R106" s="22">
        <v>11</v>
      </c>
      <c r="S106" s="21">
        <v>24</v>
      </c>
      <c r="T106" s="22">
        <v>9</v>
      </c>
      <c r="U106" s="21">
        <v>7</v>
      </c>
      <c r="V106" s="21">
        <v>38</v>
      </c>
      <c r="W106" s="21">
        <v>8</v>
      </c>
      <c r="X106" s="21">
        <v>13</v>
      </c>
      <c r="Y106" s="94">
        <v>21</v>
      </c>
      <c r="Z106" s="116">
        <v>38</v>
      </c>
      <c r="AA106" s="87">
        <v>511943394</v>
      </c>
      <c r="AB106" s="29">
        <v>1929697236</v>
      </c>
      <c r="AC106" s="29">
        <v>1633386248</v>
      </c>
      <c r="AD106" s="29">
        <v>1845967734</v>
      </c>
      <c r="AE106" s="29">
        <f t="shared" si="3"/>
        <v>5920994612</v>
      </c>
      <c r="AF106" s="30" t="s">
        <v>367</v>
      </c>
    </row>
    <row r="107" spans="1:32" ht="41.4" x14ac:dyDescent="0.3">
      <c r="A107" s="148"/>
      <c r="B107" s="159">
        <v>0</v>
      </c>
      <c r="C107" s="148"/>
      <c r="D107" s="160">
        <v>0</v>
      </c>
      <c r="E107" s="75">
        <v>0</v>
      </c>
      <c r="F107" s="75">
        <f>7.556-2-5.556</f>
        <v>0</v>
      </c>
      <c r="G107" s="74">
        <f>22.737-3+8.05</f>
        <v>27.786999999999999</v>
      </c>
      <c r="H107" s="75">
        <f>14.958+3+6</f>
        <v>23.957999999999998</v>
      </c>
      <c r="I107" s="75">
        <v>13.975999999999999</v>
      </c>
      <c r="J107" s="73">
        <v>53040020003</v>
      </c>
      <c r="K107" s="30" t="s">
        <v>2012</v>
      </c>
      <c r="L107" s="30" t="s">
        <v>2013</v>
      </c>
      <c r="M107" s="22" t="s">
        <v>107</v>
      </c>
      <c r="N107" s="22" t="s">
        <v>375</v>
      </c>
      <c r="O107" s="73" t="s">
        <v>488</v>
      </c>
      <c r="P107" s="22" t="s">
        <v>917</v>
      </c>
      <c r="Q107" s="22" t="s">
        <v>375</v>
      </c>
      <c r="R107" s="22">
        <v>11</v>
      </c>
      <c r="S107" s="21">
        <v>24</v>
      </c>
      <c r="T107" s="22">
        <v>9</v>
      </c>
      <c r="U107" s="48">
        <v>29</v>
      </c>
      <c r="V107" s="48">
        <v>110</v>
      </c>
      <c r="W107" s="48">
        <v>0</v>
      </c>
      <c r="X107" s="21">
        <v>0</v>
      </c>
      <c r="Y107" s="102">
        <v>44.54</v>
      </c>
      <c r="Z107" s="121">
        <v>110</v>
      </c>
      <c r="AA107" s="87">
        <v>0</v>
      </c>
      <c r="AB107" s="29">
        <v>0</v>
      </c>
      <c r="AC107" s="29">
        <v>5000000000</v>
      </c>
      <c r="AD107" s="29">
        <v>1000000000</v>
      </c>
      <c r="AE107" s="29">
        <f t="shared" si="3"/>
        <v>6000000000</v>
      </c>
      <c r="AF107" s="30" t="s">
        <v>1142</v>
      </c>
    </row>
    <row r="108" spans="1:32" ht="41.4" x14ac:dyDescent="0.3">
      <c r="A108" s="148"/>
      <c r="B108" s="159">
        <v>0</v>
      </c>
      <c r="C108" s="148"/>
      <c r="D108" s="160">
        <v>0</v>
      </c>
      <c r="E108" s="75">
        <v>0</v>
      </c>
      <c r="F108" s="75">
        <f>15.039-5.039-5-5+5.039+5.556</f>
        <v>10.594999999999999</v>
      </c>
      <c r="G108" s="74">
        <f>9.05+4+2+3-8.05-4-5-1</f>
        <v>0</v>
      </c>
      <c r="H108" s="75">
        <f>5.954-2.954-3</f>
        <v>0</v>
      </c>
      <c r="I108" s="75">
        <v>9.2720000000000002</v>
      </c>
      <c r="J108" s="73">
        <v>53040020004</v>
      </c>
      <c r="K108" s="30" t="s">
        <v>2014</v>
      </c>
      <c r="L108" s="30" t="s">
        <v>2015</v>
      </c>
      <c r="M108" s="22" t="s">
        <v>144</v>
      </c>
      <c r="N108" s="22" t="s">
        <v>375</v>
      </c>
      <c r="O108" s="73" t="s">
        <v>381</v>
      </c>
      <c r="P108" s="22" t="s">
        <v>918</v>
      </c>
      <c r="Q108" s="22" t="s">
        <v>375</v>
      </c>
      <c r="R108" s="22">
        <v>11</v>
      </c>
      <c r="S108" s="21">
        <v>24</v>
      </c>
      <c r="T108" s="22">
        <v>9</v>
      </c>
      <c r="U108" s="21">
        <v>3</v>
      </c>
      <c r="V108" s="21">
        <v>5</v>
      </c>
      <c r="W108" s="21">
        <v>0</v>
      </c>
      <c r="X108" s="48">
        <v>4</v>
      </c>
      <c r="Y108" s="102">
        <v>0</v>
      </c>
      <c r="Z108" s="21">
        <v>0</v>
      </c>
      <c r="AA108" s="87">
        <v>0</v>
      </c>
      <c r="AB108" s="29">
        <v>500000000</v>
      </c>
      <c r="AC108" s="29">
        <v>0</v>
      </c>
      <c r="AD108" s="29">
        <v>0</v>
      </c>
      <c r="AE108" s="29">
        <f t="shared" si="3"/>
        <v>500000000</v>
      </c>
      <c r="AF108" s="30" t="s">
        <v>1142</v>
      </c>
    </row>
    <row r="109" spans="1:32" ht="55.2" x14ac:dyDescent="0.3">
      <c r="A109" s="148"/>
      <c r="B109" s="159">
        <v>0</v>
      </c>
      <c r="C109" s="148"/>
      <c r="D109" s="160">
        <v>0</v>
      </c>
      <c r="E109" s="75">
        <v>0</v>
      </c>
      <c r="F109" s="75">
        <f>18.799+5+5.556-5.556</f>
        <v>23.798999999999999</v>
      </c>
      <c r="G109" s="74">
        <f>22.626-4</f>
        <v>18.626000000000001</v>
      </c>
      <c r="H109" s="75">
        <f>29.77-8-7-6-6-2.77</f>
        <v>0</v>
      </c>
      <c r="I109" s="75">
        <v>23.18</v>
      </c>
      <c r="J109" s="73">
        <v>53040020005</v>
      </c>
      <c r="K109" s="30" t="s">
        <v>2016</v>
      </c>
      <c r="L109" s="30" t="s">
        <v>2017</v>
      </c>
      <c r="M109" s="22" t="s">
        <v>107</v>
      </c>
      <c r="N109" s="22" t="s">
        <v>375</v>
      </c>
      <c r="O109" s="73" t="s">
        <v>381</v>
      </c>
      <c r="P109" s="22" t="s">
        <v>919</v>
      </c>
      <c r="Q109" s="22" t="s">
        <v>375</v>
      </c>
      <c r="R109" s="22">
        <v>11</v>
      </c>
      <c r="S109" s="21">
        <v>24</v>
      </c>
      <c r="T109" s="22">
        <v>9</v>
      </c>
      <c r="U109" s="21">
        <v>12</v>
      </c>
      <c r="V109" s="21">
        <v>32</v>
      </c>
      <c r="W109" s="21">
        <v>0</v>
      </c>
      <c r="X109" s="21">
        <v>5</v>
      </c>
      <c r="Y109" s="94">
        <v>5</v>
      </c>
      <c r="Z109" s="116">
        <v>0</v>
      </c>
      <c r="AA109" s="87">
        <v>0</v>
      </c>
      <c r="AB109" s="29">
        <v>1597396965</v>
      </c>
      <c r="AC109" s="29">
        <v>1591790000</v>
      </c>
      <c r="AD109" s="52">
        <v>0</v>
      </c>
      <c r="AE109" s="29">
        <f t="shared" si="3"/>
        <v>3189186965</v>
      </c>
      <c r="AF109" s="30" t="s">
        <v>362</v>
      </c>
    </row>
    <row r="110" spans="1:32" ht="41.4" x14ac:dyDescent="0.3">
      <c r="A110" s="148"/>
      <c r="B110" s="159">
        <v>0</v>
      </c>
      <c r="C110" s="148"/>
      <c r="D110" s="160">
        <v>0</v>
      </c>
      <c r="E110" s="75">
        <v>0</v>
      </c>
      <c r="F110" s="75">
        <f>18.273+2</f>
        <v>20.273</v>
      </c>
      <c r="G110" s="74">
        <f>10.862+1</f>
        <v>11.862</v>
      </c>
      <c r="H110" s="75">
        <f>7.145+2.954+8+6</f>
        <v>24.099</v>
      </c>
      <c r="I110" s="75">
        <v>11.196</v>
      </c>
      <c r="J110" s="73">
        <v>53040020006</v>
      </c>
      <c r="K110" s="30" t="s">
        <v>2018</v>
      </c>
      <c r="L110" s="30" t="s">
        <v>2019</v>
      </c>
      <c r="M110" s="22" t="s">
        <v>107</v>
      </c>
      <c r="N110" s="22" t="s">
        <v>373</v>
      </c>
      <c r="O110" s="73" t="s">
        <v>381</v>
      </c>
      <c r="P110" s="22" t="s">
        <v>920</v>
      </c>
      <c r="Q110" s="22" t="s">
        <v>373</v>
      </c>
      <c r="R110" s="22">
        <v>11</v>
      </c>
      <c r="S110" s="21">
        <v>24</v>
      </c>
      <c r="T110" s="22">
        <v>9</v>
      </c>
      <c r="U110" s="21">
        <v>39</v>
      </c>
      <c r="V110" s="21">
        <v>200</v>
      </c>
      <c r="W110" s="21">
        <v>0</v>
      </c>
      <c r="X110" s="48">
        <v>120</v>
      </c>
      <c r="Y110" s="102">
        <v>40</v>
      </c>
      <c r="Z110" s="116">
        <v>200</v>
      </c>
      <c r="AA110" s="87">
        <v>0</v>
      </c>
      <c r="AB110" s="29">
        <v>1305880855</v>
      </c>
      <c r="AC110" s="29">
        <v>749607000</v>
      </c>
      <c r="AD110" s="49">
        <v>1123217800</v>
      </c>
      <c r="AE110" s="29">
        <f t="shared" si="3"/>
        <v>3178705655</v>
      </c>
      <c r="AF110" s="30" t="s">
        <v>362</v>
      </c>
    </row>
    <row r="111" spans="1:32" ht="82.8" x14ac:dyDescent="0.3">
      <c r="A111" s="148"/>
      <c r="B111" s="159">
        <v>0</v>
      </c>
      <c r="C111" s="148" t="s">
        <v>2020</v>
      </c>
      <c r="D111" s="160">
        <v>33.953000000000003</v>
      </c>
      <c r="E111" s="75">
        <v>0</v>
      </c>
      <c r="F111" s="75">
        <v>9.4179999999999993</v>
      </c>
      <c r="G111" s="74">
        <f>6.276-6.276</f>
        <v>0</v>
      </c>
      <c r="H111" s="75">
        <f>0+2+1</f>
        <v>3</v>
      </c>
      <c r="I111" s="75">
        <v>3.923</v>
      </c>
      <c r="J111" s="73">
        <v>53040030001</v>
      </c>
      <c r="K111" s="30" t="s">
        <v>2021</v>
      </c>
      <c r="L111" s="30" t="s">
        <v>2022</v>
      </c>
      <c r="M111" s="22" t="s">
        <v>107</v>
      </c>
      <c r="N111" s="22" t="s">
        <v>373</v>
      </c>
      <c r="O111" s="73" t="s">
        <v>457</v>
      </c>
      <c r="P111" s="22" t="s">
        <v>921</v>
      </c>
      <c r="Q111" s="22" t="s">
        <v>373</v>
      </c>
      <c r="R111" s="22">
        <v>11</v>
      </c>
      <c r="S111" s="21">
        <v>24</v>
      </c>
      <c r="T111" s="22">
        <v>13</v>
      </c>
      <c r="U111" s="21">
        <v>0</v>
      </c>
      <c r="V111" s="21">
        <v>3</v>
      </c>
      <c r="W111" s="21">
        <v>0</v>
      </c>
      <c r="X111" s="21">
        <v>1</v>
      </c>
      <c r="Y111" s="94">
        <v>0</v>
      </c>
      <c r="Z111" s="116">
        <v>3</v>
      </c>
      <c r="AA111" s="87">
        <v>0</v>
      </c>
      <c r="AB111" s="29">
        <v>2000000000</v>
      </c>
      <c r="AC111" s="29">
        <v>0</v>
      </c>
      <c r="AD111" s="49">
        <v>41910000</v>
      </c>
      <c r="AE111" s="29">
        <f t="shared" si="3"/>
        <v>2041910000</v>
      </c>
      <c r="AF111" s="30" t="s">
        <v>363</v>
      </c>
    </row>
    <row r="112" spans="1:32" ht="55.2" x14ac:dyDescent="0.3">
      <c r="A112" s="148"/>
      <c r="B112" s="159">
        <v>0</v>
      </c>
      <c r="C112" s="148"/>
      <c r="D112" s="160">
        <v>0</v>
      </c>
      <c r="E112" s="75">
        <v>0</v>
      </c>
      <c r="F112" s="75">
        <v>0</v>
      </c>
      <c r="G112" s="74">
        <v>0</v>
      </c>
      <c r="H112" s="75">
        <f>6.722-1-3-1.3-1.422</f>
        <v>0</v>
      </c>
      <c r="I112" s="75">
        <v>1.6809999999999998</v>
      </c>
      <c r="J112" s="73">
        <v>53040030002</v>
      </c>
      <c r="K112" s="30" t="s">
        <v>2023</v>
      </c>
      <c r="L112" s="30" t="s">
        <v>2024</v>
      </c>
      <c r="M112" s="22" t="s">
        <v>107</v>
      </c>
      <c r="N112" s="22" t="s">
        <v>375</v>
      </c>
      <c r="O112" s="73" t="s">
        <v>5</v>
      </c>
      <c r="P112" s="22" t="s">
        <v>922</v>
      </c>
      <c r="Q112" s="22" t="s">
        <v>375</v>
      </c>
      <c r="R112" s="22">
        <v>11</v>
      </c>
      <c r="S112" s="21">
        <v>24</v>
      </c>
      <c r="T112" s="22">
        <v>9</v>
      </c>
      <c r="U112" s="21">
        <v>0</v>
      </c>
      <c r="V112" s="21">
        <v>22</v>
      </c>
      <c r="W112" s="21">
        <v>0</v>
      </c>
      <c r="X112" s="21">
        <v>0</v>
      </c>
      <c r="Y112" s="94">
        <v>0</v>
      </c>
      <c r="Z112" s="116">
        <v>0</v>
      </c>
      <c r="AA112" s="87">
        <v>0</v>
      </c>
      <c r="AB112" s="29">
        <v>0</v>
      </c>
      <c r="AC112" s="29">
        <v>0</v>
      </c>
      <c r="AD112" s="29">
        <v>0</v>
      </c>
      <c r="AE112" s="29">
        <f t="shared" si="3"/>
        <v>0</v>
      </c>
      <c r="AF112" s="30" t="s">
        <v>367</v>
      </c>
    </row>
    <row r="113" spans="1:32" ht="41.4" x14ac:dyDescent="0.3">
      <c r="A113" s="148"/>
      <c r="B113" s="159">
        <v>0</v>
      </c>
      <c r="C113" s="148"/>
      <c r="D113" s="160">
        <v>0</v>
      </c>
      <c r="E113" s="75">
        <v>8.4849999999999994</v>
      </c>
      <c r="F113" s="75">
        <f>30.903-4-2</f>
        <v>24.902999999999999</v>
      </c>
      <c r="G113" s="74">
        <f>16.418+8.378+3</f>
        <v>27.795999999999999</v>
      </c>
      <c r="H113" s="75">
        <f>18.731-2-5+4.008+3</f>
        <v>18.739000000000001</v>
      </c>
      <c r="I113" s="75">
        <v>18.634</v>
      </c>
      <c r="J113" s="73">
        <v>53040030003</v>
      </c>
      <c r="K113" s="30" t="s">
        <v>2025</v>
      </c>
      <c r="L113" s="30" t="s">
        <v>2026</v>
      </c>
      <c r="M113" s="22" t="s">
        <v>107</v>
      </c>
      <c r="N113" s="22" t="s">
        <v>375</v>
      </c>
      <c r="O113" s="73" t="s">
        <v>5</v>
      </c>
      <c r="P113" s="22" t="s">
        <v>923</v>
      </c>
      <c r="Q113" s="22" t="s">
        <v>375</v>
      </c>
      <c r="R113" s="22">
        <v>11</v>
      </c>
      <c r="S113" s="21">
        <v>24</v>
      </c>
      <c r="T113" s="22">
        <v>9</v>
      </c>
      <c r="U113" s="21">
        <v>41.15</v>
      </c>
      <c r="V113" s="21">
        <v>61.8</v>
      </c>
      <c r="W113" s="48">
        <v>42.6</v>
      </c>
      <c r="X113" s="48">
        <v>46.2</v>
      </c>
      <c r="Y113" s="102">
        <v>52.2</v>
      </c>
      <c r="Z113" s="121">
        <v>61.8</v>
      </c>
      <c r="AA113" s="87">
        <v>9828658418</v>
      </c>
      <c r="AB113" s="29">
        <v>108327209574</v>
      </c>
      <c r="AC113" s="29">
        <v>135041783375</v>
      </c>
      <c r="AD113" s="29">
        <v>38377088602</v>
      </c>
      <c r="AE113" s="29">
        <f t="shared" si="3"/>
        <v>291574739969</v>
      </c>
      <c r="AF113" s="30" t="s">
        <v>367</v>
      </c>
    </row>
    <row r="114" spans="1:32" ht="55.2" x14ac:dyDescent="0.3">
      <c r="A114" s="148"/>
      <c r="B114" s="159">
        <v>0</v>
      </c>
      <c r="C114" s="148"/>
      <c r="D114" s="160">
        <v>0</v>
      </c>
      <c r="E114" s="75">
        <v>15.282999999999999</v>
      </c>
      <c r="F114" s="75">
        <v>0</v>
      </c>
      <c r="G114" s="74">
        <f>32.05-12.05-7-8-3-2</f>
        <v>-3.5527136788005009E-15</v>
      </c>
      <c r="H114" s="75">
        <f>0+4+5+4.5-13.5</f>
        <v>0</v>
      </c>
      <c r="I114" s="75">
        <v>11.833</v>
      </c>
      <c r="J114" s="73">
        <v>53040030004</v>
      </c>
      <c r="K114" s="30" t="s">
        <v>2027</v>
      </c>
      <c r="L114" s="30" t="s">
        <v>2028</v>
      </c>
      <c r="M114" s="22" t="s">
        <v>107</v>
      </c>
      <c r="N114" s="22" t="s">
        <v>373</v>
      </c>
      <c r="O114" s="73" t="s">
        <v>5</v>
      </c>
      <c r="P114" s="22" t="s">
        <v>924</v>
      </c>
      <c r="Q114" s="22" t="s">
        <v>373</v>
      </c>
      <c r="R114" s="22">
        <v>11</v>
      </c>
      <c r="S114" s="21">
        <v>24</v>
      </c>
      <c r="T114" s="22">
        <v>9</v>
      </c>
      <c r="U114" s="21">
        <v>710</v>
      </c>
      <c r="V114" s="21">
        <v>1322</v>
      </c>
      <c r="W114" s="21">
        <v>1013</v>
      </c>
      <c r="X114" s="21">
        <v>0</v>
      </c>
      <c r="Y114" s="94">
        <v>0</v>
      </c>
      <c r="Z114" s="116">
        <v>0</v>
      </c>
      <c r="AA114" s="87">
        <v>54400000000</v>
      </c>
      <c r="AB114" s="29">
        <v>0</v>
      </c>
      <c r="AC114" s="29">
        <v>0</v>
      </c>
      <c r="AD114" s="29">
        <v>0</v>
      </c>
      <c r="AE114" s="29">
        <f t="shared" si="3"/>
        <v>54400000000</v>
      </c>
      <c r="AF114" s="30" t="s">
        <v>367</v>
      </c>
    </row>
    <row r="115" spans="1:32" ht="41.4" x14ac:dyDescent="0.3">
      <c r="A115" s="148"/>
      <c r="B115" s="159">
        <v>0</v>
      </c>
      <c r="C115" s="148"/>
      <c r="D115" s="160">
        <v>0</v>
      </c>
      <c r="E115" s="75">
        <v>10.552</v>
      </c>
      <c r="F115" s="75">
        <f>0+4+5</f>
        <v>9</v>
      </c>
      <c r="G115" s="74">
        <f>0+12.05</f>
        <v>12.05</v>
      </c>
      <c r="H115" s="75">
        <f>6.225+2</f>
        <v>8.2249999999999996</v>
      </c>
      <c r="I115" s="75">
        <v>4.194</v>
      </c>
      <c r="J115" s="73">
        <v>53040030005</v>
      </c>
      <c r="K115" s="30" t="s">
        <v>2029</v>
      </c>
      <c r="L115" s="30" t="s">
        <v>2030</v>
      </c>
      <c r="M115" s="22" t="s">
        <v>107</v>
      </c>
      <c r="N115" s="22" t="s">
        <v>373</v>
      </c>
      <c r="O115" s="73" t="s">
        <v>5</v>
      </c>
      <c r="P115" s="22" t="s">
        <v>925</v>
      </c>
      <c r="Q115" s="22" t="s">
        <v>373</v>
      </c>
      <c r="R115" s="22">
        <v>11</v>
      </c>
      <c r="S115" s="21">
        <v>24</v>
      </c>
      <c r="T115" s="22">
        <v>9</v>
      </c>
      <c r="U115" s="21">
        <v>3.28</v>
      </c>
      <c r="V115" s="21">
        <v>5</v>
      </c>
      <c r="W115" s="21">
        <v>4</v>
      </c>
      <c r="X115" s="21">
        <v>4</v>
      </c>
      <c r="Y115" s="94">
        <v>4.25</v>
      </c>
      <c r="Z115" s="116">
        <v>5</v>
      </c>
      <c r="AA115" s="87">
        <v>29767780024</v>
      </c>
      <c r="AB115" s="29">
        <v>5315675004</v>
      </c>
      <c r="AC115" s="29">
        <v>1320413671</v>
      </c>
      <c r="AD115" s="21">
        <v>1137108055</v>
      </c>
      <c r="AE115" s="29">
        <f t="shared" si="3"/>
        <v>37540976754</v>
      </c>
      <c r="AF115" s="30" t="s">
        <v>367</v>
      </c>
    </row>
    <row r="116" spans="1:32" ht="41.4" x14ac:dyDescent="0.3">
      <c r="A116" s="148"/>
      <c r="B116" s="159">
        <v>0</v>
      </c>
      <c r="C116" s="148"/>
      <c r="D116" s="160">
        <v>0</v>
      </c>
      <c r="E116" s="75">
        <v>8.8349999999999991</v>
      </c>
      <c r="F116" s="75">
        <f>0+3+2</f>
        <v>5</v>
      </c>
      <c r="G116" s="74">
        <v>0</v>
      </c>
      <c r="H116" s="75">
        <f>6.092+3+0.647</f>
        <v>9.738999999999999</v>
      </c>
      <c r="I116" s="75">
        <v>3.7319999999999998</v>
      </c>
      <c r="J116" s="73">
        <v>53040030006</v>
      </c>
      <c r="K116" s="30" t="s">
        <v>2031</v>
      </c>
      <c r="L116" s="30" t="s">
        <v>2032</v>
      </c>
      <c r="M116" s="22" t="s">
        <v>107</v>
      </c>
      <c r="N116" s="22" t="s">
        <v>373</v>
      </c>
      <c r="O116" s="73" t="s">
        <v>5</v>
      </c>
      <c r="P116" s="22" t="s">
        <v>926</v>
      </c>
      <c r="Q116" s="22" t="s">
        <v>373</v>
      </c>
      <c r="R116" s="22">
        <v>11</v>
      </c>
      <c r="S116" s="21">
        <v>24</v>
      </c>
      <c r="T116" s="22">
        <v>9</v>
      </c>
      <c r="U116" s="21">
        <v>2.71</v>
      </c>
      <c r="V116" s="21">
        <v>4</v>
      </c>
      <c r="W116" s="21">
        <v>3</v>
      </c>
      <c r="X116" s="33">
        <v>3.35</v>
      </c>
      <c r="Y116" s="94">
        <v>0</v>
      </c>
      <c r="Z116" s="116">
        <v>4</v>
      </c>
      <c r="AA116" s="87">
        <v>24925662014</v>
      </c>
      <c r="AB116" s="29">
        <v>2197527753</v>
      </c>
      <c r="AC116" s="29">
        <v>0</v>
      </c>
      <c r="AD116" s="29">
        <v>4862160000</v>
      </c>
      <c r="AE116" s="29">
        <f t="shared" si="3"/>
        <v>31985349767</v>
      </c>
      <c r="AF116" s="30" t="s">
        <v>367</v>
      </c>
    </row>
    <row r="117" spans="1:32" ht="55.2" x14ac:dyDescent="0.3">
      <c r="A117" s="148"/>
      <c r="B117" s="159">
        <v>0</v>
      </c>
      <c r="C117" s="148"/>
      <c r="D117" s="160">
        <v>0</v>
      </c>
      <c r="E117" s="75">
        <v>0</v>
      </c>
      <c r="F117" s="75">
        <v>11.843</v>
      </c>
      <c r="G117" s="74">
        <f>8.433+6.276+2</f>
        <v>16.709</v>
      </c>
      <c r="H117" s="75">
        <f>8.931+4.215+1.3+0.7</f>
        <v>15.145999999999999</v>
      </c>
      <c r="I117" s="75">
        <v>7.3020000000000005</v>
      </c>
      <c r="J117" s="73">
        <v>53040030007</v>
      </c>
      <c r="K117" s="30" t="s">
        <v>2033</v>
      </c>
      <c r="L117" s="30" t="s">
        <v>2034</v>
      </c>
      <c r="M117" s="22" t="s">
        <v>107</v>
      </c>
      <c r="N117" s="22" t="s">
        <v>373</v>
      </c>
      <c r="O117" s="73" t="s">
        <v>5</v>
      </c>
      <c r="P117" s="22" t="s">
        <v>927</v>
      </c>
      <c r="Q117" s="22" t="s">
        <v>373</v>
      </c>
      <c r="R117" s="22">
        <v>11</v>
      </c>
      <c r="S117" s="21">
        <v>24</v>
      </c>
      <c r="T117" s="22">
        <v>9</v>
      </c>
      <c r="U117" s="21">
        <v>55</v>
      </c>
      <c r="V117" s="21">
        <v>83</v>
      </c>
      <c r="W117" s="21">
        <v>0</v>
      </c>
      <c r="X117" s="21">
        <v>59</v>
      </c>
      <c r="Y117" s="94">
        <v>72</v>
      </c>
      <c r="Z117" s="116">
        <v>83</v>
      </c>
      <c r="AA117" s="87">
        <v>0</v>
      </c>
      <c r="AB117" s="29">
        <v>8651814289</v>
      </c>
      <c r="AC117" s="29">
        <v>29445819622</v>
      </c>
      <c r="AD117" s="29">
        <v>24571334991</v>
      </c>
      <c r="AE117" s="29">
        <f t="shared" si="3"/>
        <v>62668968902</v>
      </c>
      <c r="AF117" s="30" t="s">
        <v>367</v>
      </c>
    </row>
    <row r="118" spans="1:32" ht="27.6" x14ac:dyDescent="0.3">
      <c r="A118" s="148"/>
      <c r="B118" s="159">
        <v>0</v>
      </c>
      <c r="C118" s="148"/>
      <c r="D118" s="160">
        <v>0</v>
      </c>
      <c r="E118" s="75">
        <v>11.609</v>
      </c>
      <c r="F118" s="75">
        <v>0</v>
      </c>
      <c r="G118" s="74">
        <v>0</v>
      </c>
      <c r="H118" s="75">
        <f>4.008-4.008</f>
        <v>0</v>
      </c>
      <c r="I118" s="75">
        <v>3.9039999999999999</v>
      </c>
      <c r="J118" s="73">
        <v>53040030008</v>
      </c>
      <c r="K118" s="30" t="s">
        <v>2035</v>
      </c>
      <c r="L118" s="30" t="s">
        <v>2036</v>
      </c>
      <c r="M118" s="22" t="s">
        <v>107</v>
      </c>
      <c r="N118" s="22" t="s">
        <v>373</v>
      </c>
      <c r="O118" s="73" t="s">
        <v>5</v>
      </c>
      <c r="P118" s="22" t="s">
        <v>928</v>
      </c>
      <c r="Q118" s="22" t="s">
        <v>373</v>
      </c>
      <c r="R118" s="22">
        <v>11</v>
      </c>
      <c r="S118" s="21">
        <v>24</v>
      </c>
      <c r="T118" s="22">
        <v>9</v>
      </c>
      <c r="U118" s="21">
        <v>3.72</v>
      </c>
      <c r="V118" s="21">
        <v>5</v>
      </c>
      <c r="W118" s="21">
        <v>4</v>
      </c>
      <c r="X118" s="21">
        <v>0</v>
      </c>
      <c r="Y118" s="94">
        <v>0</v>
      </c>
      <c r="Z118" s="116">
        <v>0</v>
      </c>
      <c r="AA118" s="87">
        <v>44036039513</v>
      </c>
      <c r="AB118" s="29">
        <v>0</v>
      </c>
      <c r="AC118" s="29">
        <v>0</v>
      </c>
      <c r="AD118" s="21">
        <v>0</v>
      </c>
      <c r="AE118" s="29">
        <f t="shared" si="3"/>
        <v>44036039513</v>
      </c>
      <c r="AF118" s="30" t="s">
        <v>367</v>
      </c>
    </row>
    <row r="119" spans="1:32" ht="82.8" x14ac:dyDescent="0.3">
      <c r="A119" s="148"/>
      <c r="B119" s="159">
        <v>0</v>
      </c>
      <c r="C119" s="148"/>
      <c r="D119" s="160">
        <v>0</v>
      </c>
      <c r="E119" s="75">
        <v>0</v>
      </c>
      <c r="F119" s="75">
        <v>0</v>
      </c>
      <c r="G119" s="74">
        <v>0</v>
      </c>
      <c r="H119" s="75">
        <f>19.347-2.2-4-6-3-2-0.7-0.8-0.647</f>
        <v>1.9984014443252818E-15</v>
      </c>
      <c r="I119" s="75">
        <v>4.8370000000000006</v>
      </c>
      <c r="J119" s="73">
        <v>53040030009</v>
      </c>
      <c r="K119" s="30" t="s">
        <v>2037</v>
      </c>
      <c r="L119" s="30" t="s">
        <v>2038</v>
      </c>
      <c r="M119" s="22" t="s">
        <v>107</v>
      </c>
      <c r="N119" s="22" t="s">
        <v>373</v>
      </c>
      <c r="O119" s="73" t="s">
        <v>5</v>
      </c>
      <c r="P119" s="22" t="s">
        <v>929</v>
      </c>
      <c r="Q119" s="22" t="s">
        <v>373</v>
      </c>
      <c r="R119" s="22">
        <v>11</v>
      </c>
      <c r="S119" s="21">
        <v>24</v>
      </c>
      <c r="T119" s="22">
        <v>9</v>
      </c>
      <c r="U119" s="21">
        <v>0</v>
      </c>
      <c r="V119" s="21">
        <v>3</v>
      </c>
      <c r="W119" s="21">
        <v>0</v>
      </c>
      <c r="X119" s="21">
        <v>0</v>
      </c>
      <c r="Y119" s="94">
        <v>0</v>
      </c>
      <c r="Z119" s="116">
        <v>0</v>
      </c>
      <c r="AA119" s="87">
        <v>0</v>
      </c>
      <c r="AB119" s="29">
        <v>0</v>
      </c>
      <c r="AC119" s="29">
        <v>0</v>
      </c>
      <c r="AD119" s="29">
        <v>0</v>
      </c>
      <c r="AE119" s="29">
        <f t="shared" si="3"/>
        <v>0</v>
      </c>
      <c r="AF119" s="30" t="s">
        <v>367</v>
      </c>
    </row>
    <row r="120" spans="1:32" ht="69" x14ac:dyDescent="0.3">
      <c r="A120" s="148"/>
      <c r="B120" s="159">
        <v>0</v>
      </c>
      <c r="C120" s="148"/>
      <c r="D120" s="160">
        <v>0</v>
      </c>
      <c r="E120" s="75">
        <v>0</v>
      </c>
      <c r="F120" s="75">
        <v>0</v>
      </c>
      <c r="G120" s="74">
        <f>8.378-8.378</f>
        <v>0</v>
      </c>
      <c r="H120" s="75">
        <f>4.215-4.215</f>
        <v>0</v>
      </c>
      <c r="I120" s="75">
        <v>3.1480000000000001</v>
      </c>
      <c r="J120" s="73">
        <v>53040030010</v>
      </c>
      <c r="K120" s="30" t="s">
        <v>2039</v>
      </c>
      <c r="L120" s="30" t="s">
        <v>2040</v>
      </c>
      <c r="M120" s="22" t="s">
        <v>107</v>
      </c>
      <c r="N120" s="22" t="s">
        <v>373</v>
      </c>
      <c r="O120" s="73" t="s">
        <v>5</v>
      </c>
      <c r="P120" s="22" t="s">
        <v>930</v>
      </c>
      <c r="Q120" s="22" t="s">
        <v>373</v>
      </c>
      <c r="R120" s="22">
        <v>11</v>
      </c>
      <c r="S120" s="21">
        <v>24</v>
      </c>
      <c r="T120" s="22">
        <v>9</v>
      </c>
      <c r="U120" s="21">
        <v>0</v>
      </c>
      <c r="V120" s="21">
        <v>1</v>
      </c>
      <c r="W120" s="21">
        <v>0</v>
      </c>
      <c r="X120" s="21">
        <v>0</v>
      </c>
      <c r="Y120" s="94">
        <v>0</v>
      </c>
      <c r="Z120" s="116">
        <v>0</v>
      </c>
      <c r="AA120" s="87">
        <v>0</v>
      </c>
      <c r="AB120" s="29">
        <v>0</v>
      </c>
      <c r="AC120" s="29">
        <v>0</v>
      </c>
      <c r="AD120" s="21">
        <v>0</v>
      </c>
      <c r="AE120" s="29">
        <f t="shared" si="3"/>
        <v>0</v>
      </c>
      <c r="AF120" s="30" t="s">
        <v>367</v>
      </c>
    </row>
    <row r="121" spans="1:32" ht="55.2" x14ac:dyDescent="0.3">
      <c r="A121" s="148"/>
      <c r="B121" s="159">
        <v>0</v>
      </c>
      <c r="C121" s="148"/>
      <c r="D121" s="160">
        <v>0</v>
      </c>
      <c r="E121" s="75">
        <v>28.942</v>
      </c>
      <c r="F121" s="75">
        <f>30.189-5-3</f>
        <v>22.189</v>
      </c>
      <c r="G121" s="74">
        <f>14.992+7</f>
        <v>21.992000000000001</v>
      </c>
      <c r="H121" s="75">
        <f>20.716-2.2-4.5+13.5+1.422</f>
        <v>28.938000000000002</v>
      </c>
      <c r="I121" s="75">
        <v>23.71</v>
      </c>
      <c r="J121" s="73">
        <v>53040030011</v>
      </c>
      <c r="K121" s="30" t="s">
        <v>2041</v>
      </c>
      <c r="L121" s="30" t="s">
        <v>2042</v>
      </c>
      <c r="M121" s="22" t="s">
        <v>107</v>
      </c>
      <c r="N121" s="22" t="s">
        <v>373</v>
      </c>
      <c r="O121" s="73" t="s">
        <v>381</v>
      </c>
      <c r="P121" s="22" t="s">
        <v>931</v>
      </c>
      <c r="Q121" s="22" t="s">
        <v>373</v>
      </c>
      <c r="R121" s="22">
        <v>11</v>
      </c>
      <c r="S121" s="21">
        <v>24</v>
      </c>
      <c r="T121" s="22">
        <v>9</v>
      </c>
      <c r="U121" s="21">
        <v>4</v>
      </c>
      <c r="V121" s="21">
        <v>20</v>
      </c>
      <c r="W121" s="21">
        <v>8</v>
      </c>
      <c r="X121" s="21">
        <v>12</v>
      </c>
      <c r="Y121" s="94">
        <v>16</v>
      </c>
      <c r="Z121" s="116">
        <v>20</v>
      </c>
      <c r="AA121" s="87">
        <v>165326537308</v>
      </c>
      <c r="AB121" s="29">
        <v>93671814000</v>
      </c>
      <c r="AC121" s="29">
        <v>100826491788</v>
      </c>
      <c r="AD121" s="29">
        <v>83305594313</v>
      </c>
      <c r="AE121" s="29">
        <f t="shared" si="3"/>
        <v>443130437409</v>
      </c>
      <c r="AF121" s="30" t="s">
        <v>362</v>
      </c>
    </row>
    <row r="122" spans="1:32" ht="41.4" x14ac:dyDescent="0.3">
      <c r="A122" s="148"/>
      <c r="B122" s="159">
        <v>0</v>
      </c>
      <c r="C122" s="148"/>
      <c r="D122" s="160">
        <v>0</v>
      </c>
      <c r="E122" s="75">
        <v>9.2829999999999995</v>
      </c>
      <c r="F122" s="75">
        <v>11.591999999999999</v>
      </c>
      <c r="G122" s="74">
        <f>7.436+8</f>
        <v>15.436</v>
      </c>
      <c r="H122" s="75">
        <f>0+2.2+2.2+6+0.8</f>
        <v>11.200000000000001</v>
      </c>
      <c r="I122" s="75">
        <v>7.0779999999999994</v>
      </c>
      <c r="J122" s="73">
        <v>53040030012</v>
      </c>
      <c r="K122" s="30" t="s">
        <v>2043</v>
      </c>
      <c r="L122" s="30" t="s">
        <v>2044</v>
      </c>
      <c r="M122" s="22" t="s">
        <v>107</v>
      </c>
      <c r="N122" s="22" t="s">
        <v>373</v>
      </c>
      <c r="O122" s="73" t="s">
        <v>381</v>
      </c>
      <c r="P122" s="22" t="s">
        <v>932</v>
      </c>
      <c r="Q122" s="22" t="s">
        <v>373</v>
      </c>
      <c r="R122" s="22">
        <v>11</v>
      </c>
      <c r="S122" s="21">
        <v>24</v>
      </c>
      <c r="T122" s="22">
        <v>9</v>
      </c>
      <c r="U122" s="21">
        <v>1</v>
      </c>
      <c r="V122" s="21">
        <v>17</v>
      </c>
      <c r="W122" s="21">
        <v>5</v>
      </c>
      <c r="X122" s="21">
        <v>9</v>
      </c>
      <c r="Y122" s="94">
        <v>13</v>
      </c>
      <c r="Z122" s="116">
        <v>17</v>
      </c>
      <c r="AA122" s="87">
        <v>20547548438</v>
      </c>
      <c r="AB122" s="29">
        <v>7225511538</v>
      </c>
      <c r="AC122" s="29">
        <v>7388807700</v>
      </c>
      <c r="AD122" s="29">
        <v>8791790424</v>
      </c>
      <c r="AE122" s="29">
        <f t="shared" si="3"/>
        <v>43953658100</v>
      </c>
      <c r="AF122" s="30" t="s">
        <v>362</v>
      </c>
    </row>
    <row r="123" spans="1:32" ht="55.2" x14ac:dyDescent="0.3">
      <c r="A123" s="148"/>
      <c r="B123" s="159">
        <v>0</v>
      </c>
      <c r="C123" s="148"/>
      <c r="D123" s="160">
        <v>0</v>
      </c>
      <c r="E123" s="75">
        <v>7.011000000000001</v>
      </c>
      <c r="F123" s="75">
        <v>6.0549999999999997</v>
      </c>
      <c r="G123" s="74">
        <v>6.0170000000000003</v>
      </c>
      <c r="H123" s="75">
        <v>5.0129999999999999</v>
      </c>
      <c r="I123" s="75">
        <v>6.024</v>
      </c>
      <c r="J123" s="73">
        <v>53040030013</v>
      </c>
      <c r="K123" s="30" t="s">
        <v>2045</v>
      </c>
      <c r="L123" s="30" t="s">
        <v>2046</v>
      </c>
      <c r="M123" s="22" t="s">
        <v>107</v>
      </c>
      <c r="N123" s="22" t="s">
        <v>373</v>
      </c>
      <c r="O123" s="73" t="s">
        <v>5</v>
      </c>
      <c r="P123" s="22" t="s">
        <v>933</v>
      </c>
      <c r="Q123" s="22" t="s">
        <v>373</v>
      </c>
      <c r="R123" s="22">
        <v>11</v>
      </c>
      <c r="S123" s="21">
        <v>24</v>
      </c>
      <c r="T123" s="22">
        <v>9</v>
      </c>
      <c r="U123" s="21">
        <v>0</v>
      </c>
      <c r="V123" s="21">
        <v>4</v>
      </c>
      <c r="W123" s="21">
        <v>1</v>
      </c>
      <c r="X123" s="21">
        <v>2</v>
      </c>
      <c r="Y123" s="94">
        <v>3</v>
      </c>
      <c r="Z123" s="116">
        <v>4</v>
      </c>
      <c r="AA123" s="87">
        <v>30000000</v>
      </c>
      <c r="AB123" s="29">
        <v>60000000</v>
      </c>
      <c r="AC123" s="29">
        <v>60000000</v>
      </c>
      <c r="AD123" s="29">
        <v>60000000</v>
      </c>
      <c r="AE123" s="29">
        <f t="shared" si="3"/>
        <v>210000000</v>
      </c>
      <c r="AF123" s="30" t="s">
        <v>367</v>
      </c>
    </row>
    <row r="124" spans="1:32" ht="38.25" customHeight="1" x14ac:dyDescent="0.3">
      <c r="A124" s="148"/>
      <c r="B124" s="159">
        <v>0</v>
      </c>
      <c r="C124" s="148" t="s">
        <v>2047</v>
      </c>
      <c r="D124" s="160">
        <v>21.743000000000002</v>
      </c>
      <c r="E124" s="75">
        <v>16.462</v>
      </c>
      <c r="F124" s="75">
        <f>18.586-18.586+7.017</f>
        <v>7.0170000000000003</v>
      </c>
      <c r="G124" s="74">
        <f>23.307-23.307</f>
        <v>0</v>
      </c>
      <c r="H124" s="75">
        <f>26.416-4+3+4.363-29.779</f>
        <v>0</v>
      </c>
      <c r="I124" s="75">
        <v>21.251999999999999</v>
      </c>
      <c r="J124" s="73">
        <v>53040040001</v>
      </c>
      <c r="K124" s="30" t="s">
        <v>2048</v>
      </c>
      <c r="L124" s="30" t="s">
        <v>2049</v>
      </c>
      <c r="M124" s="22" t="s">
        <v>107</v>
      </c>
      <c r="N124" s="22" t="s">
        <v>373</v>
      </c>
      <c r="O124" s="73" t="s">
        <v>381</v>
      </c>
      <c r="P124" s="22" t="s">
        <v>934</v>
      </c>
      <c r="Q124" s="22" t="s">
        <v>373</v>
      </c>
      <c r="R124" s="22">
        <v>11</v>
      </c>
      <c r="S124" s="21">
        <v>24</v>
      </c>
      <c r="T124" s="22">
        <v>9</v>
      </c>
      <c r="U124" s="21">
        <v>16</v>
      </c>
      <c r="V124" s="21">
        <v>22</v>
      </c>
      <c r="W124" s="48">
        <v>16.21</v>
      </c>
      <c r="X124" s="48">
        <v>16.21</v>
      </c>
      <c r="Y124" s="94">
        <v>0</v>
      </c>
      <c r="Z124" s="116">
        <f>IFERROR(VLOOKUP(#REF!,[2]AreaFun!$A$7:$B$529,2,0),0)</f>
        <v>0</v>
      </c>
      <c r="AA124" s="87">
        <v>17376678134</v>
      </c>
      <c r="AB124" s="29">
        <v>681138318</v>
      </c>
      <c r="AC124" s="29">
        <v>0</v>
      </c>
      <c r="AD124" s="21">
        <v>0</v>
      </c>
      <c r="AE124" s="29">
        <f t="shared" si="3"/>
        <v>18057816452</v>
      </c>
      <c r="AF124" s="30" t="s">
        <v>1142</v>
      </c>
    </row>
    <row r="125" spans="1:32" ht="41.4" x14ac:dyDescent="0.3">
      <c r="A125" s="148"/>
      <c r="B125" s="159">
        <v>0</v>
      </c>
      <c r="C125" s="148"/>
      <c r="D125" s="160">
        <v>0</v>
      </c>
      <c r="E125" s="75">
        <v>0</v>
      </c>
      <c r="F125" s="75">
        <f>7.017-7.017</f>
        <v>0</v>
      </c>
      <c r="G125" s="74">
        <f>6.541-6.541</f>
        <v>0</v>
      </c>
      <c r="H125" s="75">
        <f>8.691+2-10.691</f>
        <v>0</v>
      </c>
      <c r="I125" s="75">
        <v>5.5620000000000003</v>
      </c>
      <c r="J125" s="73">
        <v>53040040002</v>
      </c>
      <c r="K125" s="30" t="s">
        <v>2050</v>
      </c>
      <c r="L125" s="30" t="s">
        <v>2051</v>
      </c>
      <c r="M125" s="22" t="s">
        <v>107</v>
      </c>
      <c r="N125" s="22" t="s">
        <v>373</v>
      </c>
      <c r="O125" s="73" t="s">
        <v>381</v>
      </c>
      <c r="P125" s="22" t="s">
        <v>935</v>
      </c>
      <c r="Q125" s="22" t="s">
        <v>373</v>
      </c>
      <c r="R125" s="22">
        <v>11</v>
      </c>
      <c r="S125" s="21">
        <v>24</v>
      </c>
      <c r="T125" s="22">
        <v>9</v>
      </c>
      <c r="U125" s="21">
        <v>0</v>
      </c>
      <c r="V125" s="21">
        <v>6</v>
      </c>
      <c r="W125" s="21">
        <v>0</v>
      </c>
      <c r="X125" s="21">
        <v>0</v>
      </c>
      <c r="Y125" s="94">
        <v>0</v>
      </c>
      <c r="Z125" s="116">
        <f>IFERROR(VLOOKUP(#REF!,[2]AreaFun!$A$7:$B$529,2,0),0)</f>
        <v>0</v>
      </c>
      <c r="AA125" s="87">
        <v>0</v>
      </c>
      <c r="AB125" s="29">
        <v>0</v>
      </c>
      <c r="AC125" s="29">
        <v>0</v>
      </c>
      <c r="AD125" s="21">
        <v>0</v>
      </c>
      <c r="AE125" s="29">
        <f t="shared" si="3"/>
        <v>0</v>
      </c>
      <c r="AF125" s="30" t="s">
        <v>1142</v>
      </c>
    </row>
    <row r="126" spans="1:32" ht="82.8" x14ac:dyDescent="0.3">
      <c r="A126" s="148"/>
      <c r="B126" s="159">
        <v>0</v>
      </c>
      <c r="C126" s="148"/>
      <c r="D126" s="160">
        <v>0</v>
      </c>
      <c r="E126" s="75">
        <v>18.164000000000001</v>
      </c>
      <c r="F126" s="75">
        <f>11.187+5</f>
        <v>16.186999999999998</v>
      </c>
      <c r="G126" s="74">
        <f>11.122+10</f>
        <v>21.122</v>
      </c>
      <c r="H126" s="75">
        <f>14.363+3-5-6-2-4.363+7.8+8</f>
        <v>15.799999999999999</v>
      </c>
      <c r="I126" s="75">
        <v>13.774000000000001</v>
      </c>
      <c r="J126" s="73">
        <v>53040040003</v>
      </c>
      <c r="K126" s="30" t="s">
        <v>2052</v>
      </c>
      <c r="L126" s="30" t="s">
        <v>2053</v>
      </c>
      <c r="M126" s="22" t="s">
        <v>107</v>
      </c>
      <c r="N126" s="22" t="s">
        <v>375</v>
      </c>
      <c r="O126" s="73" t="s">
        <v>419</v>
      </c>
      <c r="P126" s="22" t="s">
        <v>936</v>
      </c>
      <c r="Q126" s="22" t="s">
        <v>375</v>
      </c>
      <c r="R126" s="22">
        <v>11</v>
      </c>
      <c r="S126" s="21">
        <v>24</v>
      </c>
      <c r="T126" s="22">
        <v>9</v>
      </c>
      <c r="U126" s="48">
        <v>138</v>
      </c>
      <c r="V126" s="48">
        <v>162</v>
      </c>
      <c r="W126" s="48">
        <v>140.37</v>
      </c>
      <c r="X126" s="48">
        <v>143.81</v>
      </c>
      <c r="Y126" s="102">
        <v>162</v>
      </c>
      <c r="Z126" s="48">
        <v>162</v>
      </c>
      <c r="AA126" s="87">
        <v>19172672407</v>
      </c>
      <c r="AB126" s="29">
        <v>4061311931</v>
      </c>
      <c r="AC126" s="29">
        <v>4845778401</v>
      </c>
      <c r="AD126" s="21">
        <v>7503305219</v>
      </c>
      <c r="AE126" s="29">
        <f t="shared" si="3"/>
        <v>35583067958</v>
      </c>
      <c r="AF126" s="30" t="s">
        <v>1142</v>
      </c>
    </row>
    <row r="127" spans="1:32" ht="41.4" x14ac:dyDescent="0.3">
      <c r="A127" s="148"/>
      <c r="B127" s="159">
        <v>0</v>
      </c>
      <c r="C127" s="148"/>
      <c r="D127" s="160">
        <v>0</v>
      </c>
      <c r="E127" s="75">
        <v>30.196999999999999</v>
      </c>
      <c r="F127" s="75">
        <f>10.739+18.586+7.017+8.149+8.141+5-8.141-7.017</f>
        <v>42.473999999999997</v>
      </c>
      <c r="G127" s="74">
        <f>9.143+23.307+6.541</f>
        <v>38.991</v>
      </c>
      <c r="H127" s="75">
        <f>12.005-2+5+29.779+10.691</f>
        <v>55.475000000000001</v>
      </c>
      <c r="I127" s="75">
        <v>16.645</v>
      </c>
      <c r="J127" s="73">
        <v>53040040004</v>
      </c>
      <c r="K127" s="30" t="s">
        <v>2054</v>
      </c>
      <c r="L127" s="30" t="s">
        <v>2055</v>
      </c>
      <c r="M127" s="22" t="s">
        <v>144</v>
      </c>
      <c r="N127" s="22" t="s">
        <v>375</v>
      </c>
      <c r="O127" s="73" t="s">
        <v>756</v>
      </c>
      <c r="P127" s="22" t="s">
        <v>2158</v>
      </c>
      <c r="Q127" s="22" t="s">
        <v>375</v>
      </c>
      <c r="R127" s="22">
        <v>11</v>
      </c>
      <c r="S127" s="21">
        <v>24</v>
      </c>
      <c r="T127" s="22">
        <v>9</v>
      </c>
      <c r="U127" s="48">
        <v>489</v>
      </c>
      <c r="V127" s="48">
        <v>889</v>
      </c>
      <c r="W127" s="48">
        <v>565.69000000000005</v>
      </c>
      <c r="X127" s="48">
        <v>633</v>
      </c>
      <c r="Y127" s="103">
        <v>783.96599999999989</v>
      </c>
      <c r="Z127" s="121">
        <v>889</v>
      </c>
      <c r="AA127" s="87">
        <v>36096283314</v>
      </c>
      <c r="AB127" s="29">
        <v>25749424797</v>
      </c>
      <c r="AC127" s="29">
        <v>148866558267</v>
      </c>
      <c r="AD127" s="29">
        <v>124627682956</v>
      </c>
      <c r="AE127" s="29">
        <f t="shared" si="3"/>
        <v>335339949334</v>
      </c>
      <c r="AF127" s="30" t="s">
        <v>1142</v>
      </c>
    </row>
    <row r="128" spans="1:32" ht="82.8" x14ac:dyDescent="0.3">
      <c r="A128" s="148"/>
      <c r="B128" s="159">
        <v>0</v>
      </c>
      <c r="C128" s="148"/>
      <c r="D128" s="160">
        <v>0</v>
      </c>
      <c r="E128" s="75">
        <v>8.4250000000000007</v>
      </c>
      <c r="F128" s="75">
        <f>8.149-8.149+8.141</f>
        <v>8.141</v>
      </c>
      <c r="G128" s="74">
        <f>6.127+7.512</f>
        <v>13.638999999999999</v>
      </c>
      <c r="H128" s="75">
        <f>9.167-3-3-3.167+7.5</f>
        <v>7.5</v>
      </c>
      <c r="I128" s="75">
        <v>5.8610000000000007</v>
      </c>
      <c r="J128" s="73">
        <v>53040040005</v>
      </c>
      <c r="K128" s="30" t="s">
        <v>2056</v>
      </c>
      <c r="L128" s="30" t="s">
        <v>2057</v>
      </c>
      <c r="M128" s="22" t="s">
        <v>144</v>
      </c>
      <c r="N128" s="22" t="s">
        <v>373</v>
      </c>
      <c r="O128" s="73" t="s">
        <v>419</v>
      </c>
      <c r="P128" s="22" t="s">
        <v>937</v>
      </c>
      <c r="Q128" s="22" t="s">
        <v>373</v>
      </c>
      <c r="R128" s="22">
        <v>11</v>
      </c>
      <c r="S128" s="21">
        <v>24</v>
      </c>
      <c r="T128" s="22">
        <v>9</v>
      </c>
      <c r="U128" s="21">
        <v>299</v>
      </c>
      <c r="V128" s="21">
        <v>315</v>
      </c>
      <c r="W128" s="21">
        <v>300</v>
      </c>
      <c r="X128" s="21">
        <v>301</v>
      </c>
      <c r="Y128" s="94">
        <v>315</v>
      </c>
      <c r="Z128" s="116">
        <v>315</v>
      </c>
      <c r="AA128" s="87">
        <v>1504213434</v>
      </c>
      <c r="AB128" s="29">
        <v>795672728</v>
      </c>
      <c r="AC128" s="29">
        <v>1458327765</v>
      </c>
      <c r="AD128" s="29">
        <v>759952691</v>
      </c>
      <c r="AE128" s="29">
        <f t="shared" si="3"/>
        <v>4518166618</v>
      </c>
      <c r="AF128" s="30" t="s">
        <v>1142</v>
      </c>
    </row>
    <row r="129" spans="1:32" ht="55.2" x14ac:dyDescent="0.3">
      <c r="A129" s="148"/>
      <c r="B129" s="159">
        <v>0</v>
      </c>
      <c r="C129" s="148"/>
      <c r="D129" s="160">
        <v>0</v>
      </c>
      <c r="E129" s="75">
        <v>26.751999999999999</v>
      </c>
      <c r="F129" s="75">
        <f>20.264+5.917</f>
        <v>26.180999999999997</v>
      </c>
      <c r="G129" s="74">
        <f>20.128+6.12</f>
        <v>26.248000000000001</v>
      </c>
      <c r="H129" s="75">
        <f>20.2-3.3+3.167-8</f>
        <v>12.067</v>
      </c>
      <c r="I129" s="75">
        <v>22.693999999999999</v>
      </c>
      <c r="J129" s="73">
        <v>53040040006</v>
      </c>
      <c r="K129" s="30" t="s">
        <v>2058</v>
      </c>
      <c r="L129" s="30" t="s">
        <v>2059</v>
      </c>
      <c r="M129" s="22" t="s">
        <v>107</v>
      </c>
      <c r="N129" s="22" t="s">
        <v>373</v>
      </c>
      <c r="O129" s="73" t="s">
        <v>381</v>
      </c>
      <c r="P129" s="22" t="s">
        <v>938</v>
      </c>
      <c r="Q129" s="22" t="s">
        <v>373</v>
      </c>
      <c r="R129" s="22">
        <v>11</v>
      </c>
      <c r="S129" s="21">
        <v>24</v>
      </c>
      <c r="T129" s="22">
        <v>9</v>
      </c>
      <c r="U129" s="21">
        <v>28</v>
      </c>
      <c r="V129" s="21">
        <v>42</v>
      </c>
      <c r="W129" s="21">
        <v>29</v>
      </c>
      <c r="X129" s="48">
        <v>30</v>
      </c>
      <c r="Y129" s="102">
        <v>33</v>
      </c>
      <c r="Z129" s="116">
        <v>42</v>
      </c>
      <c r="AA129" s="87">
        <v>31404403241</v>
      </c>
      <c r="AB129" s="29">
        <v>13442671000</v>
      </c>
      <c r="AC129" s="29">
        <v>17141609178</v>
      </c>
      <c r="AD129" s="29">
        <v>3484657556</v>
      </c>
      <c r="AE129" s="29">
        <f t="shared" si="3"/>
        <v>65473340975</v>
      </c>
      <c r="AF129" s="30" t="s">
        <v>1142</v>
      </c>
    </row>
    <row r="130" spans="1:32" ht="69" x14ac:dyDescent="0.3">
      <c r="A130" s="148"/>
      <c r="B130" s="159">
        <v>0</v>
      </c>
      <c r="C130" s="148"/>
      <c r="D130" s="160">
        <v>0</v>
      </c>
      <c r="E130" s="75">
        <v>0</v>
      </c>
      <c r="F130" s="75">
        <f>8.141-8.141</f>
        <v>0</v>
      </c>
      <c r="G130" s="74">
        <f>6.12-6.12</f>
        <v>0</v>
      </c>
      <c r="H130" s="75">
        <v>9.1579999999999995</v>
      </c>
      <c r="I130" s="75">
        <v>5.8549999999999995</v>
      </c>
      <c r="J130" s="73">
        <v>53040040007</v>
      </c>
      <c r="K130" s="30" t="s">
        <v>2060</v>
      </c>
      <c r="L130" s="30" t="s">
        <v>2061</v>
      </c>
      <c r="M130" s="22" t="s">
        <v>107</v>
      </c>
      <c r="N130" s="22" t="s">
        <v>374</v>
      </c>
      <c r="O130" s="73" t="s">
        <v>507</v>
      </c>
      <c r="P130" s="22" t="s">
        <v>939</v>
      </c>
      <c r="Q130" s="22" t="s">
        <v>374</v>
      </c>
      <c r="R130" s="22">
        <v>11</v>
      </c>
      <c r="S130" s="21">
        <v>24</v>
      </c>
      <c r="T130" s="22">
        <v>9</v>
      </c>
      <c r="U130" s="21">
        <v>0</v>
      </c>
      <c r="V130" s="21">
        <v>100</v>
      </c>
      <c r="W130" s="21">
        <v>0</v>
      </c>
      <c r="X130" s="48">
        <v>0</v>
      </c>
      <c r="Y130" s="102">
        <v>0</v>
      </c>
      <c r="Z130" s="116">
        <v>100</v>
      </c>
      <c r="AA130" s="87">
        <v>0</v>
      </c>
      <c r="AB130" s="29">
        <v>0</v>
      </c>
      <c r="AC130" s="29">
        <v>0</v>
      </c>
      <c r="AD130" s="29">
        <v>1000000000</v>
      </c>
      <c r="AE130" s="29">
        <f t="shared" si="3"/>
        <v>1000000000</v>
      </c>
      <c r="AF130" s="30" t="s">
        <v>1142</v>
      </c>
    </row>
    <row r="131" spans="1:32" ht="69" x14ac:dyDescent="0.3">
      <c r="A131" s="148"/>
      <c r="B131" s="159">
        <v>0</v>
      </c>
      <c r="C131" s="148"/>
      <c r="D131" s="160">
        <v>0</v>
      </c>
      <c r="E131" s="75">
        <v>0</v>
      </c>
      <c r="F131" s="75">
        <f>15.917-5-5-5.917</f>
        <v>0</v>
      </c>
      <c r="G131" s="74">
        <f>17.512-10-7.512</f>
        <v>0</v>
      </c>
      <c r="H131" s="75">
        <f>0+4+3.3+2+6-7.5-7.8</f>
        <v>0</v>
      </c>
      <c r="I131" s="75">
        <v>8.3570000000000011</v>
      </c>
      <c r="J131" s="73">
        <v>53040040008</v>
      </c>
      <c r="K131" s="30" t="s">
        <v>2062</v>
      </c>
      <c r="L131" s="30" t="s">
        <v>2063</v>
      </c>
      <c r="M131" s="22" t="s">
        <v>107</v>
      </c>
      <c r="N131" s="22" t="s">
        <v>894</v>
      </c>
      <c r="O131" s="73" t="s">
        <v>381</v>
      </c>
      <c r="P131" s="22" t="s">
        <v>940</v>
      </c>
      <c r="Q131" s="22" t="s">
        <v>375</v>
      </c>
      <c r="R131" s="22">
        <v>11</v>
      </c>
      <c r="S131" s="21">
        <v>24</v>
      </c>
      <c r="T131" s="22">
        <v>9</v>
      </c>
      <c r="U131" s="21">
        <v>1</v>
      </c>
      <c r="V131" s="21">
        <v>5</v>
      </c>
      <c r="W131" s="21">
        <v>0</v>
      </c>
      <c r="X131" s="21">
        <v>0</v>
      </c>
      <c r="Y131" s="94">
        <v>0</v>
      </c>
      <c r="Z131" s="116">
        <v>0</v>
      </c>
      <c r="AA131" s="87">
        <v>0</v>
      </c>
      <c r="AB131" s="29">
        <v>0</v>
      </c>
      <c r="AC131" s="29">
        <v>0</v>
      </c>
      <c r="AD131" s="29">
        <v>0</v>
      </c>
      <c r="AE131" s="29">
        <f t="shared" si="3"/>
        <v>0</v>
      </c>
      <c r="AF131" s="30" t="s">
        <v>1142</v>
      </c>
    </row>
    <row r="132" spans="1:32" ht="38.25" customHeight="1" x14ac:dyDescent="0.3">
      <c r="A132" s="148"/>
      <c r="B132" s="159">
        <v>0</v>
      </c>
      <c r="C132" s="148" t="s">
        <v>2064</v>
      </c>
      <c r="D132" s="160">
        <v>19.038</v>
      </c>
      <c r="E132" s="75">
        <v>10.686</v>
      </c>
      <c r="F132" s="75">
        <v>9.2259999999999991</v>
      </c>
      <c r="G132" s="74">
        <f>9.855+4.152</f>
        <v>14.007000000000001</v>
      </c>
      <c r="H132" s="75">
        <f>12.784-1-1.5+1</f>
        <v>11.284000000000001</v>
      </c>
      <c r="I132" s="75">
        <v>11.269</v>
      </c>
      <c r="J132" s="73">
        <v>53040050001</v>
      </c>
      <c r="K132" s="30" t="s">
        <v>2065</v>
      </c>
      <c r="L132" s="30" t="s">
        <v>2066</v>
      </c>
      <c r="M132" s="22" t="s">
        <v>144</v>
      </c>
      <c r="N132" s="22" t="s">
        <v>373</v>
      </c>
      <c r="O132" s="73" t="s">
        <v>381</v>
      </c>
      <c r="P132" s="22" t="s">
        <v>941</v>
      </c>
      <c r="Q132" s="22" t="s">
        <v>373</v>
      </c>
      <c r="R132" s="22">
        <v>11</v>
      </c>
      <c r="S132" s="21">
        <v>24</v>
      </c>
      <c r="T132" s="22">
        <v>9</v>
      </c>
      <c r="U132" s="21">
        <v>1</v>
      </c>
      <c r="V132" s="21">
        <v>1</v>
      </c>
      <c r="W132" s="21">
        <v>1</v>
      </c>
      <c r="X132" s="21">
        <v>1</v>
      </c>
      <c r="Y132" s="94">
        <v>1</v>
      </c>
      <c r="Z132" s="116">
        <v>1</v>
      </c>
      <c r="AA132" s="87">
        <v>2406805068</v>
      </c>
      <c r="AB132" s="29">
        <v>3000000000</v>
      </c>
      <c r="AC132" s="29">
        <v>5196736000</v>
      </c>
      <c r="AD132" s="29">
        <v>6509258000</v>
      </c>
      <c r="AE132" s="29">
        <f t="shared" si="3"/>
        <v>17112799068</v>
      </c>
      <c r="AF132" s="30" t="s">
        <v>362</v>
      </c>
    </row>
    <row r="133" spans="1:32" ht="41.4" x14ac:dyDescent="0.3">
      <c r="A133" s="148"/>
      <c r="B133" s="159">
        <v>0</v>
      </c>
      <c r="C133" s="148"/>
      <c r="D133" s="160">
        <v>0</v>
      </c>
      <c r="E133" s="75">
        <v>10.1</v>
      </c>
      <c r="F133" s="75">
        <v>8.9260000000000002</v>
      </c>
      <c r="G133" s="74">
        <f>6.779+5</f>
        <v>11.779</v>
      </c>
      <c r="H133" s="75">
        <f>9.263-1</f>
        <v>8.2629999999999999</v>
      </c>
      <c r="I133" s="75">
        <v>9.1240000000000006</v>
      </c>
      <c r="J133" s="73">
        <v>53040050002</v>
      </c>
      <c r="K133" s="30" t="s">
        <v>2067</v>
      </c>
      <c r="L133" s="30" t="s">
        <v>2068</v>
      </c>
      <c r="M133" s="22" t="s">
        <v>107</v>
      </c>
      <c r="N133" s="22" t="s">
        <v>373</v>
      </c>
      <c r="O133" s="73" t="s">
        <v>381</v>
      </c>
      <c r="P133" s="22" t="s">
        <v>942</v>
      </c>
      <c r="Q133" s="22" t="s">
        <v>373</v>
      </c>
      <c r="R133" s="22">
        <v>11</v>
      </c>
      <c r="S133" s="21">
        <v>24</v>
      </c>
      <c r="T133" s="22">
        <v>9</v>
      </c>
      <c r="U133" s="21">
        <v>12802</v>
      </c>
      <c r="V133" s="21">
        <v>18000</v>
      </c>
      <c r="W133" s="21">
        <v>13902</v>
      </c>
      <c r="X133" s="21">
        <v>15202</v>
      </c>
      <c r="Y133" s="94">
        <v>16700</v>
      </c>
      <c r="Z133" s="116">
        <v>18000</v>
      </c>
      <c r="AA133" s="87">
        <v>1882339635</v>
      </c>
      <c r="AB133" s="29">
        <v>3620179681</v>
      </c>
      <c r="AC133" s="29">
        <v>3998670250</v>
      </c>
      <c r="AD133" s="29">
        <v>4869107501</v>
      </c>
      <c r="AE133" s="29">
        <f t="shared" si="3"/>
        <v>14370297067</v>
      </c>
      <c r="AF133" s="30" t="s">
        <v>362</v>
      </c>
    </row>
    <row r="134" spans="1:32" ht="41.4" x14ac:dyDescent="0.3">
      <c r="A134" s="148"/>
      <c r="B134" s="159">
        <v>0</v>
      </c>
      <c r="C134" s="148"/>
      <c r="D134" s="160">
        <v>0</v>
      </c>
      <c r="E134" s="75">
        <v>44.417000000000002</v>
      </c>
      <c r="F134" s="75">
        <v>32.163000000000004</v>
      </c>
      <c r="G134" s="74">
        <f>16.095+5.89</f>
        <v>21.984999999999999</v>
      </c>
      <c r="H134" s="75">
        <f>28.98-5.5+5+1.284</f>
        <v>29.763999999999999</v>
      </c>
      <c r="I134" s="75">
        <v>29.096</v>
      </c>
      <c r="J134" s="73">
        <v>53040050003</v>
      </c>
      <c r="K134" s="30" t="s">
        <v>2069</v>
      </c>
      <c r="L134" s="30" t="s">
        <v>2070</v>
      </c>
      <c r="M134" s="22" t="s">
        <v>144</v>
      </c>
      <c r="N134" s="22" t="s">
        <v>373</v>
      </c>
      <c r="O134" s="73" t="s">
        <v>381</v>
      </c>
      <c r="P134" s="22" t="s">
        <v>943</v>
      </c>
      <c r="Q134" s="22" t="s">
        <v>373</v>
      </c>
      <c r="R134" s="22">
        <v>11</v>
      </c>
      <c r="S134" s="21">
        <v>24</v>
      </c>
      <c r="T134" s="22">
        <v>9</v>
      </c>
      <c r="U134" s="21">
        <v>1000</v>
      </c>
      <c r="V134" s="21">
        <v>5000</v>
      </c>
      <c r="W134" s="21">
        <v>2000</v>
      </c>
      <c r="X134" s="21">
        <v>3000</v>
      </c>
      <c r="Y134" s="94">
        <v>4000</v>
      </c>
      <c r="Z134" s="116">
        <v>5000</v>
      </c>
      <c r="AA134" s="87">
        <v>82825582404</v>
      </c>
      <c r="AB134" s="29">
        <v>55856147278</v>
      </c>
      <c r="AC134" s="29">
        <v>17596441212</v>
      </c>
      <c r="AD134" s="29">
        <v>19090635200</v>
      </c>
      <c r="AE134" s="29">
        <f t="shared" si="3"/>
        <v>175368806094</v>
      </c>
      <c r="AF134" s="30" t="s">
        <v>362</v>
      </c>
    </row>
    <row r="135" spans="1:32" ht="41.4" x14ac:dyDescent="0.3">
      <c r="A135" s="148"/>
      <c r="B135" s="159">
        <v>0</v>
      </c>
      <c r="C135" s="148"/>
      <c r="D135" s="160">
        <v>0</v>
      </c>
      <c r="E135" s="75">
        <v>0</v>
      </c>
      <c r="F135" s="75">
        <v>0</v>
      </c>
      <c r="G135" s="74">
        <f>5.89-5.89</f>
        <v>0</v>
      </c>
      <c r="H135" s="75">
        <v>0</v>
      </c>
      <c r="I135" s="75">
        <v>1.472</v>
      </c>
      <c r="J135" s="73">
        <v>53040050004</v>
      </c>
      <c r="K135" s="30" t="s">
        <v>2071</v>
      </c>
      <c r="L135" s="30" t="s">
        <v>2072</v>
      </c>
      <c r="M135" s="22" t="s">
        <v>107</v>
      </c>
      <c r="N135" s="22" t="s">
        <v>373</v>
      </c>
      <c r="O135" s="73" t="s">
        <v>381</v>
      </c>
      <c r="P135" s="22" t="s">
        <v>944</v>
      </c>
      <c r="Q135" s="22" t="s">
        <v>373</v>
      </c>
      <c r="R135" s="22">
        <v>11</v>
      </c>
      <c r="S135" s="21">
        <v>24</v>
      </c>
      <c r="T135" s="22">
        <v>9</v>
      </c>
      <c r="U135" s="21">
        <v>0</v>
      </c>
      <c r="V135" s="21">
        <v>1</v>
      </c>
      <c r="W135" s="21">
        <v>0</v>
      </c>
      <c r="X135" s="21">
        <v>0</v>
      </c>
      <c r="Y135" s="94">
        <v>0</v>
      </c>
      <c r="Z135" s="116">
        <v>0</v>
      </c>
      <c r="AA135" s="87">
        <v>0</v>
      </c>
      <c r="AB135" s="29">
        <v>0</v>
      </c>
      <c r="AC135" s="29">
        <v>0</v>
      </c>
      <c r="AD135" s="29">
        <v>0</v>
      </c>
      <c r="AE135" s="29">
        <f t="shared" si="3"/>
        <v>0</v>
      </c>
      <c r="AF135" s="30" t="s">
        <v>362</v>
      </c>
    </row>
    <row r="136" spans="1:32" ht="41.4" x14ac:dyDescent="0.3">
      <c r="A136" s="148"/>
      <c r="B136" s="159">
        <v>0</v>
      </c>
      <c r="C136" s="148"/>
      <c r="D136" s="160">
        <v>0</v>
      </c>
      <c r="E136" s="75">
        <v>0</v>
      </c>
      <c r="F136" s="75">
        <v>7.0569999999999995</v>
      </c>
      <c r="G136" s="74">
        <v>5.4749999999999996</v>
      </c>
      <c r="H136" s="75">
        <f>6.129+1</f>
        <v>7.1289999999999996</v>
      </c>
      <c r="I136" s="75">
        <v>4.665</v>
      </c>
      <c r="J136" s="73">
        <v>53040050005</v>
      </c>
      <c r="K136" s="30" t="s">
        <v>2073</v>
      </c>
      <c r="L136" s="30" t="s">
        <v>2074</v>
      </c>
      <c r="M136" s="22" t="s">
        <v>107</v>
      </c>
      <c r="N136" s="22" t="s">
        <v>373</v>
      </c>
      <c r="O136" s="73" t="s">
        <v>381</v>
      </c>
      <c r="P136" s="22" t="s">
        <v>945</v>
      </c>
      <c r="Q136" s="22" t="s">
        <v>373</v>
      </c>
      <c r="R136" s="22">
        <v>11</v>
      </c>
      <c r="S136" s="21">
        <v>24</v>
      </c>
      <c r="T136" s="22">
        <v>9</v>
      </c>
      <c r="U136" s="21">
        <v>2</v>
      </c>
      <c r="V136" s="21">
        <v>51</v>
      </c>
      <c r="W136" s="21">
        <v>0</v>
      </c>
      <c r="X136" s="21">
        <v>12</v>
      </c>
      <c r="Y136" s="94">
        <v>42</v>
      </c>
      <c r="Z136" s="116">
        <v>51</v>
      </c>
      <c r="AA136" s="87">
        <v>0</v>
      </c>
      <c r="AB136" s="29">
        <v>831962990</v>
      </c>
      <c r="AC136" s="29">
        <v>660648000</v>
      </c>
      <c r="AD136" s="29">
        <v>1056278070</v>
      </c>
      <c r="AE136" s="29">
        <f t="shared" si="3"/>
        <v>2548889060</v>
      </c>
      <c r="AF136" s="30" t="s">
        <v>362</v>
      </c>
    </row>
    <row r="137" spans="1:32" ht="55.2" x14ac:dyDescent="0.3">
      <c r="A137" s="148"/>
      <c r="B137" s="159">
        <v>0</v>
      </c>
      <c r="C137" s="148"/>
      <c r="D137" s="160">
        <v>0</v>
      </c>
      <c r="E137" s="75">
        <v>8.2420000000000009</v>
      </c>
      <c r="F137" s="75">
        <v>6.9819999999999993</v>
      </c>
      <c r="G137" s="74">
        <v>5.4749999999999996</v>
      </c>
      <c r="H137" s="75">
        <f>6.129+2</f>
        <v>8.1289999999999996</v>
      </c>
      <c r="I137" s="75">
        <v>7.577</v>
      </c>
      <c r="J137" s="73">
        <v>53040050006</v>
      </c>
      <c r="K137" s="30" t="s">
        <v>2075</v>
      </c>
      <c r="L137" s="30" t="s">
        <v>2076</v>
      </c>
      <c r="M137" s="22" t="s">
        <v>144</v>
      </c>
      <c r="N137" s="22" t="s">
        <v>373</v>
      </c>
      <c r="O137" s="73" t="s">
        <v>381</v>
      </c>
      <c r="P137" s="22" t="s">
        <v>946</v>
      </c>
      <c r="Q137" s="22" t="s">
        <v>373</v>
      </c>
      <c r="R137" s="22">
        <v>11</v>
      </c>
      <c r="S137" s="21">
        <v>24</v>
      </c>
      <c r="T137" s="22">
        <v>9</v>
      </c>
      <c r="U137" s="21">
        <v>1</v>
      </c>
      <c r="V137" s="21">
        <v>1</v>
      </c>
      <c r="W137" s="21">
        <v>1</v>
      </c>
      <c r="X137" s="21">
        <v>1</v>
      </c>
      <c r="Y137" s="94">
        <v>1</v>
      </c>
      <c r="Z137" s="116">
        <v>1</v>
      </c>
      <c r="AA137" s="87">
        <v>216694169</v>
      </c>
      <c r="AB137" s="29">
        <v>308513975</v>
      </c>
      <c r="AC137" s="29">
        <v>649544000</v>
      </c>
      <c r="AD137" s="29">
        <v>1681818000</v>
      </c>
      <c r="AE137" s="29">
        <f t="shared" si="3"/>
        <v>2856570144</v>
      </c>
      <c r="AF137" s="30" t="s">
        <v>362</v>
      </c>
    </row>
    <row r="138" spans="1:32" ht="41.4" x14ac:dyDescent="0.3">
      <c r="A138" s="148"/>
      <c r="B138" s="159">
        <v>0</v>
      </c>
      <c r="C138" s="148"/>
      <c r="D138" s="160">
        <v>0</v>
      </c>
      <c r="E138" s="75">
        <v>8.1890000000000001</v>
      </c>
      <c r="F138" s="75">
        <v>6.3780000000000001</v>
      </c>
      <c r="G138" s="74">
        <v>5.1779999999999999</v>
      </c>
      <c r="H138" s="75">
        <v>5.4020000000000001</v>
      </c>
      <c r="I138" s="75">
        <v>7.0569999999999995</v>
      </c>
      <c r="J138" s="73">
        <v>53040050007</v>
      </c>
      <c r="K138" s="30" t="s">
        <v>2077</v>
      </c>
      <c r="L138" s="30" t="s">
        <v>2078</v>
      </c>
      <c r="M138" s="22" t="s">
        <v>144</v>
      </c>
      <c r="N138" s="22" t="s">
        <v>373</v>
      </c>
      <c r="O138" s="73" t="s">
        <v>381</v>
      </c>
      <c r="P138" s="22" t="s">
        <v>947</v>
      </c>
      <c r="Q138" s="22" t="s">
        <v>373</v>
      </c>
      <c r="R138" s="22">
        <v>11</v>
      </c>
      <c r="S138" s="21">
        <v>24</v>
      </c>
      <c r="T138" s="22">
        <v>9</v>
      </c>
      <c r="U138" s="21">
        <v>1</v>
      </c>
      <c r="V138" s="21">
        <v>1</v>
      </c>
      <c r="W138" s="21">
        <v>1</v>
      </c>
      <c r="X138" s="21">
        <v>1</v>
      </c>
      <c r="Y138" s="94">
        <v>1</v>
      </c>
      <c r="Z138" s="116">
        <v>1</v>
      </c>
      <c r="AA138" s="87">
        <v>169000000</v>
      </c>
      <c r="AB138" s="29">
        <v>223554000</v>
      </c>
      <c r="AC138" s="29">
        <v>18363000</v>
      </c>
      <c r="AD138" s="29">
        <v>283997659</v>
      </c>
      <c r="AE138" s="29">
        <f t="shared" si="3"/>
        <v>694914659</v>
      </c>
      <c r="AF138" s="30" t="s">
        <v>362</v>
      </c>
    </row>
    <row r="139" spans="1:32" ht="55.2" x14ac:dyDescent="0.3">
      <c r="A139" s="148"/>
      <c r="B139" s="159">
        <v>0</v>
      </c>
      <c r="C139" s="148"/>
      <c r="D139" s="160">
        <v>0</v>
      </c>
      <c r="E139" s="75">
        <v>0</v>
      </c>
      <c r="F139" s="75">
        <v>0</v>
      </c>
      <c r="G139" s="74">
        <f>4.152-4.152</f>
        <v>0</v>
      </c>
      <c r="H139" s="75">
        <f>8.784+1.5-5-2-1-1.284-1</f>
        <v>0</v>
      </c>
      <c r="I139" s="75">
        <v>3.234</v>
      </c>
      <c r="J139" s="73">
        <v>53040050008</v>
      </c>
      <c r="K139" s="30" t="s">
        <v>2079</v>
      </c>
      <c r="L139" s="30" t="s">
        <v>2080</v>
      </c>
      <c r="M139" s="22" t="s">
        <v>107</v>
      </c>
      <c r="N139" s="22" t="s">
        <v>373</v>
      </c>
      <c r="O139" s="73" t="s">
        <v>381</v>
      </c>
      <c r="P139" s="22" t="s">
        <v>2159</v>
      </c>
      <c r="Q139" s="22" t="s">
        <v>373</v>
      </c>
      <c r="R139" s="22">
        <v>11</v>
      </c>
      <c r="S139" s="21">
        <v>24</v>
      </c>
      <c r="T139" s="22">
        <v>9</v>
      </c>
      <c r="U139" s="21">
        <v>0</v>
      </c>
      <c r="V139" s="21">
        <v>8</v>
      </c>
      <c r="W139" s="21">
        <v>0</v>
      </c>
      <c r="X139" s="21">
        <v>0</v>
      </c>
      <c r="Y139" s="94">
        <v>0</v>
      </c>
      <c r="Z139" s="116">
        <v>0</v>
      </c>
      <c r="AA139" s="87">
        <v>0</v>
      </c>
      <c r="AB139" s="29">
        <v>0</v>
      </c>
      <c r="AC139" s="29">
        <v>0</v>
      </c>
      <c r="AD139" s="29">
        <v>0</v>
      </c>
      <c r="AE139" s="29">
        <f t="shared" si="3"/>
        <v>0</v>
      </c>
      <c r="AF139" s="30" t="s">
        <v>362</v>
      </c>
    </row>
    <row r="140" spans="1:32" ht="41.4" x14ac:dyDescent="0.3">
      <c r="A140" s="148"/>
      <c r="B140" s="159">
        <v>0</v>
      </c>
      <c r="C140" s="148"/>
      <c r="D140" s="160">
        <v>0</v>
      </c>
      <c r="E140" s="75">
        <v>9.484</v>
      </c>
      <c r="F140" s="75">
        <v>7.2650000000000006</v>
      </c>
      <c r="G140" s="74">
        <f>6.186+2</f>
        <v>8.1859999999999999</v>
      </c>
      <c r="H140" s="75">
        <v>8.1370000000000005</v>
      </c>
      <c r="I140" s="75">
        <v>8.677999999999999</v>
      </c>
      <c r="J140" s="73">
        <v>53040050009</v>
      </c>
      <c r="K140" s="30" t="s">
        <v>2081</v>
      </c>
      <c r="L140" s="30" t="s">
        <v>2082</v>
      </c>
      <c r="M140" s="22" t="s">
        <v>107</v>
      </c>
      <c r="N140" s="22" t="s">
        <v>373</v>
      </c>
      <c r="O140" s="73" t="s">
        <v>381</v>
      </c>
      <c r="P140" s="22" t="s">
        <v>948</v>
      </c>
      <c r="Q140" s="22" t="s">
        <v>373</v>
      </c>
      <c r="R140" s="22">
        <v>11</v>
      </c>
      <c r="S140" s="21">
        <v>24</v>
      </c>
      <c r="T140" s="22">
        <v>9</v>
      </c>
      <c r="U140" s="21">
        <v>510000</v>
      </c>
      <c r="V140" s="21">
        <v>1100000</v>
      </c>
      <c r="W140" s="21">
        <v>640000</v>
      </c>
      <c r="X140" s="21">
        <v>780000</v>
      </c>
      <c r="Y140" s="94">
        <v>930000</v>
      </c>
      <c r="Z140" s="116">
        <v>1100000</v>
      </c>
      <c r="AA140" s="87">
        <v>1329737990</v>
      </c>
      <c r="AB140" s="29">
        <v>979683000</v>
      </c>
      <c r="AC140" s="29">
        <v>1131820000</v>
      </c>
      <c r="AD140" s="29">
        <v>1199224400</v>
      </c>
      <c r="AE140" s="29">
        <f t="shared" si="3"/>
        <v>4640465390</v>
      </c>
      <c r="AF140" s="30" t="s">
        <v>362</v>
      </c>
    </row>
    <row r="141" spans="1:32" ht="69" x14ac:dyDescent="0.3">
      <c r="A141" s="148"/>
      <c r="B141" s="159">
        <v>0</v>
      </c>
      <c r="C141" s="148"/>
      <c r="D141" s="160">
        <v>0</v>
      </c>
      <c r="E141" s="75">
        <v>0</v>
      </c>
      <c r="F141" s="75">
        <v>7.2650000000000006</v>
      </c>
      <c r="G141" s="74">
        <f>6.008+2</f>
        <v>8.0079999999999991</v>
      </c>
      <c r="H141" s="75">
        <v>7.51</v>
      </c>
      <c r="I141" s="75">
        <v>5.1959999999999997</v>
      </c>
      <c r="J141" s="73">
        <v>53040050010</v>
      </c>
      <c r="K141" s="30" t="s">
        <v>2083</v>
      </c>
      <c r="L141" s="30" t="s">
        <v>2084</v>
      </c>
      <c r="M141" s="22" t="s">
        <v>107</v>
      </c>
      <c r="N141" s="22" t="s">
        <v>373</v>
      </c>
      <c r="O141" s="73" t="s">
        <v>381</v>
      </c>
      <c r="P141" s="22" t="s">
        <v>949</v>
      </c>
      <c r="Q141" s="22" t="s">
        <v>373</v>
      </c>
      <c r="R141" s="22">
        <v>11</v>
      </c>
      <c r="S141" s="21">
        <v>24</v>
      </c>
      <c r="T141" s="22">
        <v>9</v>
      </c>
      <c r="U141" s="21">
        <v>6</v>
      </c>
      <c r="V141" s="21">
        <v>26</v>
      </c>
      <c r="W141" s="21">
        <v>0</v>
      </c>
      <c r="X141" s="21">
        <v>14</v>
      </c>
      <c r="Y141" s="94">
        <v>20</v>
      </c>
      <c r="Z141" s="116">
        <v>26</v>
      </c>
      <c r="AA141" s="87">
        <v>0</v>
      </c>
      <c r="AB141" s="29">
        <v>1243327000</v>
      </c>
      <c r="AC141" s="29">
        <v>1172864000</v>
      </c>
      <c r="AD141" s="29">
        <v>1020254000</v>
      </c>
      <c r="AE141" s="29">
        <f t="shared" si="3"/>
        <v>3436445000</v>
      </c>
      <c r="AF141" s="30" t="s">
        <v>362</v>
      </c>
    </row>
    <row r="142" spans="1:32" ht="55.2" x14ac:dyDescent="0.3">
      <c r="A142" s="148"/>
      <c r="B142" s="159">
        <v>0</v>
      </c>
      <c r="C142" s="148"/>
      <c r="D142" s="160">
        <v>0</v>
      </c>
      <c r="E142" s="75">
        <v>0</v>
      </c>
      <c r="F142" s="75">
        <v>6.2080000000000002</v>
      </c>
      <c r="G142" s="74">
        <v>5.593</v>
      </c>
      <c r="H142" s="75">
        <v>6.8820000000000006</v>
      </c>
      <c r="I142" s="75">
        <v>4.6710000000000003</v>
      </c>
      <c r="J142" s="73">
        <v>53040050011</v>
      </c>
      <c r="K142" s="30" t="s">
        <v>2085</v>
      </c>
      <c r="L142" s="30" t="s">
        <v>2086</v>
      </c>
      <c r="M142" s="22" t="s">
        <v>107</v>
      </c>
      <c r="N142" s="22" t="s">
        <v>373</v>
      </c>
      <c r="O142" s="73" t="s">
        <v>381</v>
      </c>
      <c r="P142" s="22" t="s">
        <v>950</v>
      </c>
      <c r="Q142" s="22" t="s">
        <v>373</v>
      </c>
      <c r="R142" s="22">
        <v>11</v>
      </c>
      <c r="S142" s="21">
        <v>24</v>
      </c>
      <c r="T142" s="22">
        <v>9</v>
      </c>
      <c r="U142" s="21">
        <v>40</v>
      </c>
      <c r="V142" s="21">
        <v>175</v>
      </c>
      <c r="W142" s="21">
        <v>0</v>
      </c>
      <c r="X142" s="21">
        <v>75</v>
      </c>
      <c r="Y142" s="94">
        <v>125</v>
      </c>
      <c r="Z142" s="128">
        <v>190</v>
      </c>
      <c r="AA142" s="87">
        <v>0</v>
      </c>
      <c r="AB142" s="29">
        <v>300000000</v>
      </c>
      <c r="AC142" s="29">
        <v>608736000</v>
      </c>
      <c r="AD142" s="29">
        <v>314533800</v>
      </c>
      <c r="AE142" s="29">
        <f t="shared" si="3"/>
        <v>1223269800</v>
      </c>
      <c r="AF142" s="30" t="s">
        <v>362</v>
      </c>
    </row>
    <row r="143" spans="1:32" ht="41.4" x14ac:dyDescent="0.3">
      <c r="A143" s="148"/>
      <c r="B143" s="159">
        <v>0</v>
      </c>
      <c r="C143" s="148"/>
      <c r="D143" s="160">
        <v>0</v>
      </c>
      <c r="E143" s="75">
        <v>8.8819999999999997</v>
      </c>
      <c r="F143" s="75">
        <v>8.5299999999999994</v>
      </c>
      <c r="G143" s="74">
        <f>23.314-5-2-2</f>
        <v>14.314</v>
      </c>
      <c r="H143" s="75">
        <f>0+1+1+5.5</f>
        <v>7.5</v>
      </c>
      <c r="I143" s="75">
        <v>7.9610000000000003</v>
      </c>
      <c r="J143" s="73">
        <v>53040050012</v>
      </c>
      <c r="K143" s="30" t="s">
        <v>2087</v>
      </c>
      <c r="L143" s="30" t="s">
        <v>2088</v>
      </c>
      <c r="M143" s="22" t="s">
        <v>107</v>
      </c>
      <c r="N143" s="22" t="s">
        <v>373</v>
      </c>
      <c r="O143" s="73" t="s">
        <v>381</v>
      </c>
      <c r="P143" s="22" t="s">
        <v>951</v>
      </c>
      <c r="Q143" s="22" t="s">
        <v>373</v>
      </c>
      <c r="R143" s="22">
        <v>11</v>
      </c>
      <c r="S143" s="21">
        <v>24</v>
      </c>
      <c r="T143" s="22">
        <v>9</v>
      </c>
      <c r="U143" s="21">
        <v>0</v>
      </c>
      <c r="V143" s="21">
        <v>12</v>
      </c>
      <c r="W143" s="21">
        <v>2</v>
      </c>
      <c r="X143" s="21">
        <v>6</v>
      </c>
      <c r="Y143" s="94">
        <v>10</v>
      </c>
      <c r="Z143" s="116">
        <v>12</v>
      </c>
      <c r="AA143" s="87">
        <v>790249588</v>
      </c>
      <c r="AB143" s="29">
        <v>732000000</v>
      </c>
      <c r="AC143" s="29">
        <v>1272611652</v>
      </c>
      <c r="AD143" s="29">
        <v>979168000</v>
      </c>
      <c r="AE143" s="29">
        <f t="shared" si="3"/>
        <v>3774029240</v>
      </c>
      <c r="AF143" s="30" t="s">
        <v>363</v>
      </c>
    </row>
    <row r="144" spans="1:32" x14ac:dyDescent="0.3">
      <c r="A144" s="24"/>
      <c r="B144" s="38"/>
      <c r="C144" s="24"/>
      <c r="D144" s="39"/>
      <c r="E144" s="35"/>
      <c r="F144" s="35"/>
      <c r="G144" s="35"/>
      <c r="H144" s="35"/>
      <c r="I144" s="35"/>
      <c r="J144" s="24"/>
      <c r="K144" s="40"/>
      <c r="L144" s="40"/>
      <c r="M144" s="41"/>
      <c r="N144" s="41"/>
      <c r="O144" s="24"/>
      <c r="P144" s="41"/>
      <c r="Q144" s="41"/>
      <c r="R144" s="41"/>
      <c r="S144" s="52"/>
      <c r="T144" s="41"/>
      <c r="U144" s="52"/>
      <c r="V144" s="52"/>
      <c r="W144" s="52"/>
      <c r="X144" s="52"/>
      <c r="Y144" s="52"/>
      <c r="Z144" s="55"/>
      <c r="AA144" s="52"/>
      <c r="AB144" s="52"/>
      <c r="AC144" s="52"/>
      <c r="AD144" s="29"/>
      <c r="AE144" s="53"/>
      <c r="AF144" s="40"/>
    </row>
    <row r="145" spans="1:32" ht="165.6" x14ac:dyDescent="0.3">
      <c r="A145" s="148" t="s">
        <v>2089</v>
      </c>
      <c r="B145" s="159">
        <v>22.294</v>
      </c>
      <c r="C145" s="148" t="s">
        <v>2090</v>
      </c>
      <c r="D145" s="160">
        <v>22.881</v>
      </c>
      <c r="E145" s="75">
        <v>29.788999999999998</v>
      </c>
      <c r="F145" s="75">
        <f>22.822+27.841-27.841+10</f>
        <v>32.821999999999996</v>
      </c>
      <c r="G145" s="74">
        <f>25.793-4+6</f>
        <v>27.792999999999999</v>
      </c>
      <c r="H145" s="75">
        <f>26.847-6.5-2+13.5+6+4+5</f>
        <v>46.847000000000001</v>
      </c>
      <c r="I145" s="75">
        <v>26.312999999999999</v>
      </c>
      <c r="J145" s="73">
        <v>53050010001</v>
      </c>
      <c r="K145" s="30" t="s">
        <v>2091</v>
      </c>
      <c r="L145" s="30" t="s">
        <v>2092</v>
      </c>
      <c r="M145" s="22" t="s">
        <v>107</v>
      </c>
      <c r="N145" s="22" t="s">
        <v>373</v>
      </c>
      <c r="O145" s="73" t="s">
        <v>486</v>
      </c>
      <c r="P145" s="22" t="s">
        <v>952</v>
      </c>
      <c r="Q145" s="22" t="s">
        <v>373</v>
      </c>
      <c r="R145" s="22">
        <v>13</v>
      </c>
      <c r="S145" s="21">
        <v>45</v>
      </c>
      <c r="T145" s="22">
        <v>12</v>
      </c>
      <c r="U145" s="21">
        <v>3188</v>
      </c>
      <c r="V145" s="21">
        <v>12248</v>
      </c>
      <c r="W145" s="21">
        <v>4063</v>
      </c>
      <c r="X145" s="21">
        <v>5322</v>
      </c>
      <c r="Y145" s="94">
        <v>9328</v>
      </c>
      <c r="Z145" s="116">
        <v>12248</v>
      </c>
      <c r="AA145" s="87">
        <v>2462810000</v>
      </c>
      <c r="AB145" s="29">
        <v>2089288500</v>
      </c>
      <c r="AC145" s="29">
        <v>2245487500</v>
      </c>
      <c r="AD145" s="29">
        <v>2271106261</v>
      </c>
      <c r="AE145" s="29">
        <f>SUM(AA145:AD145)</f>
        <v>9068692261</v>
      </c>
      <c r="AF145" s="30" t="s">
        <v>1144</v>
      </c>
    </row>
    <row r="146" spans="1:32" ht="96.6" x14ac:dyDescent="0.3">
      <c r="A146" s="148"/>
      <c r="B146" s="159">
        <v>0</v>
      </c>
      <c r="C146" s="148"/>
      <c r="D146" s="160">
        <v>0</v>
      </c>
      <c r="E146" s="75">
        <v>0</v>
      </c>
      <c r="F146" s="75">
        <f>5.255-5.255</f>
        <v>0</v>
      </c>
      <c r="G146" s="74">
        <f>7.965+4.035</f>
        <v>12</v>
      </c>
      <c r="H146" s="75">
        <v>8.4610000000000003</v>
      </c>
      <c r="I146" s="75">
        <v>5.4210000000000003</v>
      </c>
      <c r="J146" s="73">
        <v>53050010002</v>
      </c>
      <c r="K146" s="30" t="s">
        <v>2093</v>
      </c>
      <c r="L146" s="30" t="s">
        <v>2094</v>
      </c>
      <c r="M146" s="22" t="s">
        <v>107</v>
      </c>
      <c r="N146" s="22" t="s">
        <v>374</v>
      </c>
      <c r="O146" s="73" t="s">
        <v>419</v>
      </c>
      <c r="P146" s="22" t="s">
        <v>953</v>
      </c>
      <c r="Q146" s="22" t="s">
        <v>374</v>
      </c>
      <c r="R146" s="22">
        <v>13</v>
      </c>
      <c r="S146" s="21">
        <v>45</v>
      </c>
      <c r="T146" s="22">
        <v>12</v>
      </c>
      <c r="U146" s="21">
        <v>0</v>
      </c>
      <c r="V146" s="21">
        <v>100</v>
      </c>
      <c r="W146" s="21">
        <v>0</v>
      </c>
      <c r="X146" s="21">
        <v>0</v>
      </c>
      <c r="Y146" s="94">
        <v>40</v>
      </c>
      <c r="Z146" s="116">
        <v>100</v>
      </c>
      <c r="AA146" s="87">
        <v>0</v>
      </c>
      <c r="AB146" s="29">
        <v>0</v>
      </c>
      <c r="AC146" s="29">
        <v>225204000</v>
      </c>
      <c r="AD146" s="29">
        <v>161854000</v>
      </c>
      <c r="AE146" s="29">
        <f t="shared" ref="AE146:AE174" si="4">SUM(AA146:AD146)</f>
        <v>387058000</v>
      </c>
      <c r="AF146" s="30" t="s">
        <v>1144</v>
      </c>
    </row>
    <row r="147" spans="1:32" ht="55.2" x14ac:dyDescent="0.3">
      <c r="A147" s="148"/>
      <c r="B147" s="159">
        <v>0</v>
      </c>
      <c r="C147" s="148"/>
      <c r="D147" s="160">
        <v>0</v>
      </c>
      <c r="E147" s="75">
        <v>0</v>
      </c>
      <c r="F147" s="75">
        <f>7.183-4-3.183</f>
        <v>0</v>
      </c>
      <c r="G147" s="74">
        <v>9.391</v>
      </c>
      <c r="H147" s="75">
        <v>10.847</v>
      </c>
      <c r="I147" s="75">
        <v>6.8550000000000004</v>
      </c>
      <c r="J147" s="73">
        <v>53050010003</v>
      </c>
      <c r="K147" s="30" t="s">
        <v>2095</v>
      </c>
      <c r="L147" s="30" t="s">
        <v>2096</v>
      </c>
      <c r="M147" s="22" t="s">
        <v>144</v>
      </c>
      <c r="N147" s="22" t="s">
        <v>373</v>
      </c>
      <c r="O147" s="73" t="s">
        <v>381</v>
      </c>
      <c r="P147" s="22" t="s">
        <v>954</v>
      </c>
      <c r="Q147" s="22" t="s">
        <v>373</v>
      </c>
      <c r="R147" s="22">
        <v>13</v>
      </c>
      <c r="S147" s="21">
        <v>45</v>
      </c>
      <c r="T147" s="22">
        <v>12</v>
      </c>
      <c r="U147" s="21">
        <v>1</v>
      </c>
      <c r="V147" s="21">
        <v>1</v>
      </c>
      <c r="W147" s="21">
        <v>0</v>
      </c>
      <c r="X147" s="21">
        <v>0</v>
      </c>
      <c r="Y147" s="94">
        <v>1</v>
      </c>
      <c r="Z147" s="116">
        <v>1</v>
      </c>
      <c r="AA147" s="87">
        <v>0</v>
      </c>
      <c r="AB147" s="29">
        <v>0</v>
      </c>
      <c r="AC147" s="29">
        <v>165224000</v>
      </c>
      <c r="AD147" s="29">
        <v>172588000</v>
      </c>
      <c r="AE147" s="29">
        <f t="shared" si="4"/>
        <v>337812000</v>
      </c>
      <c r="AF147" s="30" t="s">
        <v>1144</v>
      </c>
    </row>
    <row r="148" spans="1:32" ht="137.25" customHeight="1" x14ac:dyDescent="0.3">
      <c r="A148" s="148"/>
      <c r="B148" s="159">
        <v>0</v>
      </c>
      <c r="C148" s="148"/>
      <c r="D148" s="160">
        <v>0</v>
      </c>
      <c r="E148" s="75">
        <v>36.582999999999998</v>
      </c>
      <c r="F148" s="75">
        <f>27.841-27.841+27.841+9.377</f>
        <v>37.218000000000004</v>
      </c>
      <c r="G148" s="74">
        <f>27.219-5-4-4</f>
        <v>14.219000000000001</v>
      </c>
      <c r="H148" s="75">
        <f>30.662-7-3.5-5</f>
        <v>15.161999999999999</v>
      </c>
      <c r="I148" s="75">
        <v>30.575999999999997</v>
      </c>
      <c r="J148" s="73">
        <v>53050010004</v>
      </c>
      <c r="K148" s="30" t="s">
        <v>2097</v>
      </c>
      <c r="L148" s="30" t="s">
        <v>2098</v>
      </c>
      <c r="M148" s="22" t="s">
        <v>107</v>
      </c>
      <c r="N148" s="22" t="s">
        <v>374</v>
      </c>
      <c r="O148" s="73" t="s">
        <v>486</v>
      </c>
      <c r="P148" s="22" t="s">
        <v>955</v>
      </c>
      <c r="Q148" s="22" t="s">
        <v>374</v>
      </c>
      <c r="R148" s="22">
        <v>13</v>
      </c>
      <c r="S148" s="21">
        <v>45</v>
      </c>
      <c r="T148" s="22">
        <v>12</v>
      </c>
      <c r="U148" s="21">
        <v>10</v>
      </c>
      <c r="V148" s="21">
        <v>100</v>
      </c>
      <c r="W148" s="21">
        <v>40</v>
      </c>
      <c r="X148" s="21">
        <v>50</v>
      </c>
      <c r="Y148" s="94">
        <v>60</v>
      </c>
      <c r="Z148" s="116">
        <v>100</v>
      </c>
      <c r="AA148" s="111">
        <v>5504778505</v>
      </c>
      <c r="AB148" s="21">
        <v>5493395985</v>
      </c>
      <c r="AC148" s="21">
        <v>336435350</v>
      </c>
      <c r="AD148" s="29">
        <v>215861539</v>
      </c>
      <c r="AE148" s="29">
        <f t="shared" si="4"/>
        <v>11550471379</v>
      </c>
      <c r="AF148" s="30" t="s">
        <v>1144</v>
      </c>
    </row>
    <row r="149" spans="1:32" ht="96.6" x14ac:dyDescent="0.3">
      <c r="A149" s="148"/>
      <c r="B149" s="159">
        <v>0</v>
      </c>
      <c r="C149" s="148"/>
      <c r="D149" s="160">
        <v>0</v>
      </c>
      <c r="E149" s="75">
        <v>16.814</v>
      </c>
      <c r="F149" s="75">
        <f>7.564+5.255</f>
        <v>12.818999999999999</v>
      </c>
      <c r="G149" s="74">
        <f>9.63+5</f>
        <v>14.63</v>
      </c>
      <c r="H149" s="75">
        <f>12.873-4</f>
        <v>8.8729999999999993</v>
      </c>
      <c r="I149" s="75">
        <v>11.72</v>
      </c>
      <c r="J149" s="73">
        <v>53050010005</v>
      </c>
      <c r="K149" s="30" t="s">
        <v>2099</v>
      </c>
      <c r="L149" s="30" t="s">
        <v>2100</v>
      </c>
      <c r="M149" s="22" t="s">
        <v>107</v>
      </c>
      <c r="N149" s="22" t="s">
        <v>373</v>
      </c>
      <c r="O149" s="73" t="s">
        <v>381</v>
      </c>
      <c r="P149" s="22" t="s">
        <v>956</v>
      </c>
      <c r="Q149" s="22" t="s">
        <v>373</v>
      </c>
      <c r="R149" s="22">
        <v>13</v>
      </c>
      <c r="S149" s="21">
        <v>45</v>
      </c>
      <c r="T149" s="22">
        <v>12</v>
      </c>
      <c r="U149" s="21">
        <v>1</v>
      </c>
      <c r="V149" s="21">
        <v>2</v>
      </c>
      <c r="W149" s="21">
        <v>1</v>
      </c>
      <c r="X149" s="21">
        <v>1</v>
      </c>
      <c r="Y149" s="94">
        <v>1</v>
      </c>
      <c r="Z149" s="116">
        <v>2</v>
      </c>
      <c r="AA149" s="87">
        <v>150000000</v>
      </c>
      <c r="AB149" s="29">
        <v>198950000</v>
      </c>
      <c r="AC149" s="29">
        <v>355794950</v>
      </c>
      <c r="AD149" s="29">
        <v>100480000</v>
      </c>
      <c r="AE149" s="29">
        <f t="shared" si="4"/>
        <v>805224950</v>
      </c>
      <c r="AF149" s="30" t="s">
        <v>368</v>
      </c>
    </row>
    <row r="150" spans="1:32" ht="105.75" customHeight="1" x14ac:dyDescent="0.3">
      <c r="A150" s="148"/>
      <c r="B150" s="159">
        <v>0</v>
      </c>
      <c r="C150" s="148"/>
      <c r="D150" s="160">
        <v>0</v>
      </c>
      <c r="E150" s="75">
        <v>0</v>
      </c>
      <c r="F150" s="75">
        <f>10.194+6+3.183-10-9.377</f>
        <v>0</v>
      </c>
      <c r="G150" s="74">
        <f>11.335-1.3-6-4.035</f>
        <v>0</v>
      </c>
      <c r="H150" s="75">
        <f>10.31-6</f>
        <v>4.3100000000000005</v>
      </c>
      <c r="I150" s="75">
        <v>7.9600000000000009</v>
      </c>
      <c r="J150" s="73">
        <v>53050010006</v>
      </c>
      <c r="K150" s="30" t="s">
        <v>2101</v>
      </c>
      <c r="L150" s="30" t="s">
        <v>2102</v>
      </c>
      <c r="M150" s="22" t="s">
        <v>107</v>
      </c>
      <c r="N150" s="22" t="s">
        <v>374</v>
      </c>
      <c r="O150" s="73" t="s">
        <v>957</v>
      </c>
      <c r="P150" s="22" t="s">
        <v>958</v>
      </c>
      <c r="Q150" s="22" t="s">
        <v>376</v>
      </c>
      <c r="R150" s="22">
        <v>13</v>
      </c>
      <c r="S150" s="21">
        <v>45</v>
      </c>
      <c r="T150" s="22">
        <v>12</v>
      </c>
      <c r="U150" s="21">
        <v>52</v>
      </c>
      <c r="V150" s="21">
        <v>100</v>
      </c>
      <c r="W150" s="21">
        <v>0</v>
      </c>
      <c r="X150" s="48">
        <v>0</v>
      </c>
      <c r="Y150" s="94">
        <v>0</v>
      </c>
      <c r="Z150" s="121">
        <v>100</v>
      </c>
      <c r="AA150" s="87">
        <v>0</v>
      </c>
      <c r="AB150" s="29">
        <v>0</v>
      </c>
      <c r="AC150" s="29">
        <v>0</v>
      </c>
      <c r="AD150" s="29">
        <v>25270000</v>
      </c>
      <c r="AE150" s="29">
        <f t="shared" si="4"/>
        <v>25270000</v>
      </c>
      <c r="AF150" s="30" t="s">
        <v>363</v>
      </c>
    </row>
    <row r="151" spans="1:32" ht="112.5" customHeight="1" x14ac:dyDescent="0.3">
      <c r="A151" s="148"/>
      <c r="B151" s="159">
        <v>0</v>
      </c>
      <c r="C151" s="148"/>
      <c r="D151" s="160">
        <v>0</v>
      </c>
      <c r="E151" s="75">
        <v>16.814</v>
      </c>
      <c r="F151" s="75">
        <f>7.148+5.993+4</f>
        <v>17.140999999999998</v>
      </c>
      <c r="G151" s="74">
        <f>8.667-8.667</f>
        <v>0</v>
      </c>
      <c r="H151" s="75">
        <f>0+2+3.5</f>
        <v>5.5</v>
      </c>
      <c r="I151" s="75">
        <v>8.157</v>
      </c>
      <c r="J151" s="73">
        <v>53050010007</v>
      </c>
      <c r="K151" s="30" t="s">
        <v>2103</v>
      </c>
      <c r="L151" s="30" t="s">
        <v>2104</v>
      </c>
      <c r="M151" s="22" t="s">
        <v>107</v>
      </c>
      <c r="N151" s="22" t="s">
        <v>374</v>
      </c>
      <c r="O151" s="73" t="s">
        <v>959</v>
      </c>
      <c r="P151" s="22" t="s">
        <v>960</v>
      </c>
      <c r="Q151" s="22" t="s">
        <v>376</v>
      </c>
      <c r="R151" s="22">
        <v>13</v>
      </c>
      <c r="S151" s="21">
        <v>45</v>
      </c>
      <c r="T151" s="22">
        <v>12</v>
      </c>
      <c r="U151" s="21">
        <v>35</v>
      </c>
      <c r="V151" s="21">
        <v>100</v>
      </c>
      <c r="W151" s="21">
        <v>70</v>
      </c>
      <c r="X151" s="21">
        <v>85</v>
      </c>
      <c r="Y151" s="94">
        <v>0</v>
      </c>
      <c r="Z151" s="116">
        <v>100</v>
      </c>
      <c r="AA151" s="87">
        <v>150000000</v>
      </c>
      <c r="AB151" s="29">
        <v>300000000</v>
      </c>
      <c r="AC151" s="29">
        <v>0</v>
      </c>
      <c r="AD151" s="29">
        <v>30324000</v>
      </c>
      <c r="AE151" s="29">
        <f t="shared" si="4"/>
        <v>480324000</v>
      </c>
      <c r="AF151" s="30" t="s">
        <v>363</v>
      </c>
    </row>
    <row r="152" spans="1:32" ht="96.6" x14ac:dyDescent="0.3">
      <c r="A152" s="148"/>
      <c r="B152" s="159">
        <v>0</v>
      </c>
      <c r="C152" s="148"/>
      <c r="D152" s="160">
        <v>0</v>
      </c>
      <c r="E152" s="75">
        <v>0</v>
      </c>
      <c r="F152" s="75">
        <f>11.993-6-5.993</f>
        <v>0</v>
      </c>
      <c r="G152" s="74">
        <f>0+4+4+1.3+8.667+4</f>
        <v>21.966999999999999</v>
      </c>
      <c r="H152" s="75">
        <f>0+7+6.5-13.5</f>
        <v>0</v>
      </c>
      <c r="I152" s="75">
        <v>2.9979999999999998</v>
      </c>
      <c r="J152" s="73">
        <v>53050010008</v>
      </c>
      <c r="K152" s="30" t="s">
        <v>2105</v>
      </c>
      <c r="L152" s="30" t="s">
        <v>2106</v>
      </c>
      <c r="M152" s="22" t="s">
        <v>107</v>
      </c>
      <c r="N152" s="22" t="s">
        <v>373</v>
      </c>
      <c r="O152" s="73" t="s">
        <v>381</v>
      </c>
      <c r="P152" s="22" t="s">
        <v>961</v>
      </c>
      <c r="Q152" s="22" t="s">
        <v>373</v>
      </c>
      <c r="R152" s="22">
        <v>13</v>
      </c>
      <c r="S152" s="21">
        <v>45</v>
      </c>
      <c r="T152" s="22">
        <v>12</v>
      </c>
      <c r="U152" s="21">
        <v>0</v>
      </c>
      <c r="V152" s="21">
        <v>1</v>
      </c>
      <c r="W152" s="21">
        <v>0</v>
      </c>
      <c r="X152" s="21">
        <v>0</v>
      </c>
      <c r="Y152" s="94">
        <v>0.5</v>
      </c>
      <c r="Z152" s="116">
        <v>0</v>
      </c>
      <c r="AA152" s="87">
        <v>0</v>
      </c>
      <c r="AB152" s="29">
        <v>0</v>
      </c>
      <c r="AC152" s="29">
        <v>851812000</v>
      </c>
      <c r="AD152" s="29">
        <v>0</v>
      </c>
      <c r="AE152" s="29">
        <f t="shared" si="4"/>
        <v>851812000</v>
      </c>
      <c r="AF152" s="30" t="s">
        <v>368</v>
      </c>
    </row>
    <row r="153" spans="1:32" ht="82.8" x14ac:dyDescent="0.3">
      <c r="A153" s="148"/>
      <c r="B153" s="159">
        <v>0</v>
      </c>
      <c r="C153" s="148" t="s">
        <v>2107</v>
      </c>
      <c r="D153" s="160">
        <v>45.223999999999997</v>
      </c>
      <c r="E153" s="75">
        <v>0</v>
      </c>
      <c r="F153" s="75">
        <v>4.5199999999999996</v>
      </c>
      <c r="G153" s="74">
        <v>3.016</v>
      </c>
      <c r="H153" s="75">
        <f>4.125-0.5-0.4</f>
        <v>3.2250000000000001</v>
      </c>
      <c r="I153" s="75">
        <v>2.915</v>
      </c>
      <c r="J153" s="73">
        <v>53050020001</v>
      </c>
      <c r="K153" s="30" t="s">
        <v>2108</v>
      </c>
      <c r="L153" s="30" t="s">
        <v>2109</v>
      </c>
      <c r="M153" s="22" t="s">
        <v>107</v>
      </c>
      <c r="N153" s="22" t="s">
        <v>373</v>
      </c>
      <c r="O153" s="73" t="s">
        <v>381</v>
      </c>
      <c r="P153" s="22" t="s">
        <v>962</v>
      </c>
      <c r="Q153" s="22" t="s">
        <v>373</v>
      </c>
      <c r="R153" s="22">
        <v>11</v>
      </c>
      <c r="S153" s="21">
        <v>32</v>
      </c>
      <c r="T153" s="22">
        <v>18</v>
      </c>
      <c r="U153" s="21">
        <v>71</v>
      </c>
      <c r="V153" s="21">
        <v>839</v>
      </c>
      <c r="W153" s="21">
        <v>0</v>
      </c>
      <c r="X153" s="21">
        <v>271</v>
      </c>
      <c r="Y153" s="94">
        <v>639</v>
      </c>
      <c r="Z153" s="116">
        <v>839</v>
      </c>
      <c r="AA153" s="105">
        <v>0</v>
      </c>
      <c r="AB153" s="49">
        <v>600000000</v>
      </c>
      <c r="AC153" s="29">
        <v>386962467</v>
      </c>
      <c r="AD153" s="29">
        <v>291826386</v>
      </c>
      <c r="AE153" s="29">
        <f t="shared" si="4"/>
        <v>1278788853</v>
      </c>
      <c r="AF153" s="30" t="s">
        <v>372</v>
      </c>
    </row>
    <row r="154" spans="1:32" ht="82.8" x14ac:dyDescent="0.3">
      <c r="A154" s="148"/>
      <c r="B154" s="159">
        <v>0</v>
      </c>
      <c r="C154" s="148"/>
      <c r="D154" s="160">
        <v>0</v>
      </c>
      <c r="E154" s="75">
        <v>5.2370000000000001</v>
      </c>
      <c r="F154" s="75">
        <f>6.282-1.2</f>
        <v>5.0819999999999999</v>
      </c>
      <c r="G154" s="74">
        <f>4.104+1.231-1.231-1</f>
        <v>3.1040000000000001</v>
      </c>
      <c r="H154" s="75">
        <f>6.456</f>
        <v>6.4560000000000004</v>
      </c>
      <c r="I154" s="75">
        <v>5.52</v>
      </c>
      <c r="J154" s="73">
        <v>53050020002</v>
      </c>
      <c r="K154" s="30" t="s">
        <v>2110</v>
      </c>
      <c r="L154" s="30" t="s">
        <v>2111</v>
      </c>
      <c r="M154" s="22" t="s">
        <v>107</v>
      </c>
      <c r="N154" s="22" t="s">
        <v>373</v>
      </c>
      <c r="O154" s="73" t="s">
        <v>381</v>
      </c>
      <c r="P154" s="22" t="s">
        <v>963</v>
      </c>
      <c r="Q154" s="22" t="s">
        <v>373</v>
      </c>
      <c r="R154" s="22">
        <v>11</v>
      </c>
      <c r="S154" s="21">
        <v>40</v>
      </c>
      <c r="T154" s="22">
        <v>7</v>
      </c>
      <c r="U154" s="21">
        <v>4567</v>
      </c>
      <c r="V154" s="21">
        <v>8167</v>
      </c>
      <c r="W154" s="21">
        <v>4717</v>
      </c>
      <c r="X154" s="48">
        <v>6074</v>
      </c>
      <c r="Y154" s="102">
        <v>5447</v>
      </c>
      <c r="Z154" s="116">
        <v>8167</v>
      </c>
      <c r="AA154" s="87">
        <v>309267712</v>
      </c>
      <c r="AB154" s="29">
        <v>1235232135</v>
      </c>
      <c r="AC154" s="29">
        <v>1552813660</v>
      </c>
      <c r="AD154" s="29">
        <v>1276497960</v>
      </c>
      <c r="AE154" s="29">
        <f t="shared" si="4"/>
        <v>4373811467</v>
      </c>
      <c r="AF154" s="30" t="s">
        <v>1140</v>
      </c>
    </row>
    <row r="155" spans="1:32" ht="55.2" x14ac:dyDescent="0.3">
      <c r="A155" s="148"/>
      <c r="B155" s="159">
        <v>0</v>
      </c>
      <c r="C155" s="148"/>
      <c r="D155" s="160">
        <v>0</v>
      </c>
      <c r="E155" s="75">
        <v>0</v>
      </c>
      <c r="F155" s="75">
        <f>3.315+1.2</f>
        <v>4.5149999999999997</v>
      </c>
      <c r="G155" s="74">
        <f>3.231-1.231-1-1+3.47+1+0.4+1</f>
        <v>5.87</v>
      </c>
      <c r="H155" s="75">
        <f>3.131-1.131-1-1+7.7+0.5+1.131-0.7</f>
        <v>8.6310000000000002</v>
      </c>
      <c r="I155" s="75">
        <v>2.419</v>
      </c>
      <c r="J155" s="73">
        <v>53050020003</v>
      </c>
      <c r="K155" s="30" t="s">
        <v>2112</v>
      </c>
      <c r="L155" s="30" t="s">
        <v>2113</v>
      </c>
      <c r="M155" s="22" t="s">
        <v>107</v>
      </c>
      <c r="N155" s="22" t="s">
        <v>379</v>
      </c>
      <c r="O155" s="73" t="s">
        <v>381</v>
      </c>
      <c r="P155" s="22" t="s">
        <v>964</v>
      </c>
      <c r="Q155" s="22" t="s">
        <v>379</v>
      </c>
      <c r="R155" s="22">
        <v>13</v>
      </c>
      <c r="S155" s="21">
        <v>40</v>
      </c>
      <c r="T155" s="22">
        <v>7</v>
      </c>
      <c r="U155" s="21">
        <v>7769</v>
      </c>
      <c r="V155" s="21">
        <v>8409</v>
      </c>
      <c r="W155" s="21">
        <v>0</v>
      </c>
      <c r="X155" s="21">
        <v>8409</v>
      </c>
      <c r="Y155" s="103">
        <v>11455.93</v>
      </c>
      <c r="Z155" s="33">
        <v>11455.93</v>
      </c>
      <c r="AA155" s="87">
        <v>0</v>
      </c>
      <c r="AB155" s="29">
        <v>953924778</v>
      </c>
      <c r="AC155" s="29">
        <v>6004528377</v>
      </c>
      <c r="AD155" s="29">
        <v>3617228218</v>
      </c>
      <c r="AE155" s="29">
        <f t="shared" si="4"/>
        <v>10575681373</v>
      </c>
      <c r="AF155" s="30" t="s">
        <v>1142</v>
      </c>
    </row>
    <row r="156" spans="1:32" ht="207" x14ac:dyDescent="0.3">
      <c r="A156" s="148"/>
      <c r="B156" s="159">
        <v>0</v>
      </c>
      <c r="C156" s="148"/>
      <c r="D156" s="160">
        <v>0</v>
      </c>
      <c r="E156" s="75">
        <v>6.2290000000000001</v>
      </c>
      <c r="F156" s="75">
        <v>6.1280000000000001</v>
      </c>
      <c r="G156" s="74">
        <f>3.801+4.291-2.5-1</f>
        <v>4.5920000000000005</v>
      </c>
      <c r="H156" s="75">
        <f>4.54+2.5+2.2-0.5-0.3</f>
        <v>8.44</v>
      </c>
      <c r="I156" s="75">
        <v>5.6749999999999998</v>
      </c>
      <c r="J156" s="73">
        <v>53050020004</v>
      </c>
      <c r="K156" s="30" t="s">
        <v>2114</v>
      </c>
      <c r="L156" s="30" t="s">
        <v>2115</v>
      </c>
      <c r="M156" s="22" t="s">
        <v>107</v>
      </c>
      <c r="N156" s="22" t="s">
        <v>374</v>
      </c>
      <c r="O156" s="73" t="s">
        <v>965</v>
      </c>
      <c r="P156" s="22" t="s">
        <v>966</v>
      </c>
      <c r="Q156" s="22" t="s">
        <v>373</v>
      </c>
      <c r="R156" s="22">
        <v>3</v>
      </c>
      <c r="S156" s="21">
        <v>19</v>
      </c>
      <c r="T156" s="22">
        <v>2</v>
      </c>
      <c r="U156" s="21">
        <v>25</v>
      </c>
      <c r="V156" s="21">
        <v>90</v>
      </c>
      <c r="W156" s="21">
        <v>50</v>
      </c>
      <c r="X156" s="21">
        <v>80</v>
      </c>
      <c r="Y156" s="94">
        <v>85</v>
      </c>
      <c r="Z156" s="116">
        <v>90</v>
      </c>
      <c r="AA156" s="111">
        <v>1608149193</v>
      </c>
      <c r="AB156" s="21">
        <v>2515617930</v>
      </c>
      <c r="AC156" s="21">
        <v>2800000000</v>
      </c>
      <c r="AD156" s="52">
        <v>3027000000</v>
      </c>
      <c r="AE156" s="29">
        <f t="shared" si="4"/>
        <v>9950767123</v>
      </c>
      <c r="AF156" s="30" t="s">
        <v>356</v>
      </c>
    </row>
    <row r="157" spans="1:32" ht="82.8" x14ac:dyDescent="0.3">
      <c r="A157" s="148"/>
      <c r="B157" s="159">
        <v>0</v>
      </c>
      <c r="C157" s="148"/>
      <c r="D157" s="160">
        <v>0</v>
      </c>
      <c r="E157" s="75">
        <v>5.3819999999999997</v>
      </c>
      <c r="F157" s="75">
        <f>4.449-4.449</f>
        <v>0</v>
      </c>
      <c r="G157" s="74">
        <f>3.291+1-4.291</f>
        <v>0</v>
      </c>
      <c r="H157" s="75">
        <f>5.47+1-6.47</f>
        <v>0</v>
      </c>
      <c r="I157" s="75">
        <v>4.6479999999999997</v>
      </c>
      <c r="J157" s="73">
        <v>53050020005</v>
      </c>
      <c r="K157" s="30" t="s">
        <v>2116</v>
      </c>
      <c r="L157" s="30" t="s">
        <v>2117</v>
      </c>
      <c r="M157" s="22" t="s">
        <v>107</v>
      </c>
      <c r="N157" s="22" t="s">
        <v>373</v>
      </c>
      <c r="O157" s="73" t="s">
        <v>381</v>
      </c>
      <c r="P157" s="22" t="s">
        <v>967</v>
      </c>
      <c r="Q157" s="22" t="s">
        <v>373</v>
      </c>
      <c r="R157" s="22">
        <v>13</v>
      </c>
      <c r="S157" s="21">
        <v>45</v>
      </c>
      <c r="T157" s="22">
        <v>12</v>
      </c>
      <c r="U157" s="21">
        <v>43</v>
      </c>
      <c r="V157" s="21">
        <v>63</v>
      </c>
      <c r="W157" s="21">
        <v>43</v>
      </c>
      <c r="X157" s="21">
        <v>0</v>
      </c>
      <c r="Y157" s="94">
        <v>0</v>
      </c>
      <c r="Z157" s="116">
        <v>0</v>
      </c>
      <c r="AA157" s="87">
        <v>500000000</v>
      </c>
      <c r="AB157" s="29">
        <v>0</v>
      </c>
      <c r="AC157" s="29">
        <v>0</v>
      </c>
      <c r="AD157" s="29">
        <v>0</v>
      </c>
      <c r="AE157" s="29">
        <f t="shared" si="4"/>
        <v>500000000</v>
      </c>
      <c r="AF157" s="30" t="s">
        <v>368</v>
      </c>
    </row>
    <row r="158" spans="1:32" ht="124.2" x14ac:dyDescent="0.3">
      <c r="A158" s="148"/>
      <c r="B158" s="159">
        <v>0</v>
      </c>
      <c r="C158" s="148"/>
      <c r="D158" s="160">
        <v>0</v>
      </c>
      <c r="E158" s="75">
        <v>0</v>
      </c>
      <c r="F158" s="75">
        <f>3.297-3.297</f>
        <v>0</v>
      </c>
      <c r="G158" s="74">
        <f>3.47-3.47</f>
        <v>0</v>
      </c>
      <c r="H158" s="75">
        <f>3.951-3.951</f>
        <v>0</v>
      </c>
      <c r="I158" s="75">
        <v>2.6790000000000003</v>
      </c>
      <c r="J158" s="73">
        <v>53050020006</v>
      </c>
      <c r="K158" s="30" t="s">
        <v>2118</v>
      </c>
      <c r="L158" s="30" t="s">
        <v>2119</v>
      </c>
      <c r="M158" s="22" t="s">
        <v>107</v>
      </c>
      <c r="N158" s="22" t="s">
        <v>373</v>
      </c>
      <c r="O158" s="73" t="s">
        <v>819</v>
      </c>
      <c r="P158" s="22" t="s">
        <v>968</v>
      </c>
      <c r="Q158" s="22" t="s">
        <v>373</v>
      </c>
      <c r="R158" s="22">
        <v>13</v>
      </c>
      <c r="S158" s="21">
        <v>32</v>
      </c>
      <c r="T158" s="22">
        <v>10</v>
      </c>
      <c r="U158" s="21">
        <v>0</v>
      </c>
      <c r="V158" s="21">
        <v>3</v>
      </c>
      <c r="W158" s="21">
        <v>0</v>
      </c>
      <c r="X158" s="21">
        <v>0</v>
      </c>
      <c r="Y158" s="94">
        <v>0</v>
      </c>
      <c r="Z158" s="116">
        <v>0</v>
      </c>
      <c r="AA158" s="87">
        <v>0</v>
      </c>
      <c r="AB158" s="29">
        <v>0</v>
      </c>
      <c r="AC158" s="29">
        <v>0</v>
      </c>
      <c r="AD158" s="29">
        <v>0</v>
      </c>
      <c r="AE158" s="29">
        <f t="shared" si="4"/>
        <v>0</v>
      </c>
      <c r="AF158" s="30" t="s">
        <v>368</v>
      </c>
    </row>
    <row r="159" spans="1:32" ht="55.2" x14ac:dyDescent="0.3">
      <c r="A159" s="148"/>
      <c r="B159" s="159">
        <v>0</v>
      </c>
      <c r="C159" s="148"/>
      <c r="D159" s="160">
        <v>0</v>
      </c>
      <c r="E159" s="75">
        <v>4.0949999999999998</v>
      </c>
      <c r="F159" s="75">
        <f>3.061+2</f>
        <v>5.0609999999999999</v>
      </c>
      <c r="G159" s="74">
        <f>3.828-0.4</f>
        <v>3.4279999999999999</v>
      </c>
      <c r="H159" s="75">
        <v>3.4510000000000001</v>
      </c>
      <c r="I159" s="75">
        <v>3.6089999999999995</v>
      </c>
      <c r="J159" s="73">
        <v>53050020007</v>
      </c>
      <c r="K159" s="30" t="s">
        <v>2120</v>
      </c>
      <c r="L159" s="30" t="s">
        <v>2121</v>
      </c>
      <c r="M159" s="22" t="s">
        <v>107</v>
      </c>
      <c r="N159" s="22" t="s">
        <v>377</v>
      </c>
      <c r="O159" s="73" t="s">
        <v>381</v>
      </c>
      <c r="P159" s="22" t="s">
        <v>969</v>
      </c>
      <c r="Q159" s="22" t="s">
        <v>377</v>
      </c>
      <c r="R159" s="22">
        <v>13</v>
      </c>
      <c r="S159" s="21">
        <v>40</v>
      </c>
      <c r="T159" s="22">
        <v>7</v>
      </c>
      <c r="U159" s="21">
        <v>3303</v>
      </c>
      <c r="V159" s="21">
        <v>6303</v>
      </c>
      <c r="W159" s="21">
        <v>3540</v>
      </c>
      <c r="X159" s="48">
        <v>4461</v>
      </c>
      <c r="Y159" s="102">
        <v>5382</v>
      </c>
      <c r="Z159" s="116">
        <v>6303</v>
      </c>
      <c r="AA159" s="87">
        <v>123922637</v>
      </c>
      <c r="AB159" s="29">
        <v>1250481056</v>
      </c>
      <c r="AC159" s="29">
        <v>794368617</v>
      </c>
      <c r="AD159" s="29">
        <v>575649140</v>
      </c>
      <c r="AE159" s="29">
        <f t="shared" si="4"/>
        <v>2744421450</v>
      </c>
      <c r="AF159" s="30" t="s">
        <v>1140</v>
      </c>
    </row>
    <row r="160" spans="1:32" ht="69" x14ac:dyDescent="0.3">
      <c r="A160" s="148"/>
      <c r="B160" s="159">
        <v>0</v>
      </c>
      <c r="C160" s="148"/>
      <c r="D160" s="160">
        <v>0</v>
      </c>
      <c r="E160" s="75">
        <v>4.1290000000000004</v>
      </c>
      <c r="F160" s="75">
        <v>4.1099999999999994</v>
      </c>
      <c r="G160" s="74">
        <f>3.697-0.4</f>
        <v>3.2970000000000002</v>
      </c>
      <c r="H160" s="75">
        <f>2.787+1</f>
        <v>3.7869999999999999</v>
      </c>
      <c r="I160" s="75">
        <v>3.681</v>
      </c>
      <c r="J160" s="73">
        <v>53050020008</v>
      </c>
      <c r="K160" s="30" t="s">
        <v>2122</v>
      </c>
      <c r="L160" s="30" t="s">
        <v>2123</v>
      </c>
      <c r="M160" s="22" t="s">
        <v>107</v>
      </c>
      <c r="N160" s="22" t="s">
        <v>373</v>
      </c>
      <c r="O160" s="73" t="s">
        <v>381</v>
      </c>
      <c r="P160" s="22" t="s">
        <v>970</v>
      </c>
      <c r="Q160" s="22" t="s">
        <v>373</v>
      </c>
      <c r="R160" s="22">
        <v>13</v>
      </c>
      <c r="S160" s="21">
        <v>45</v>
      </c>
      <c r="T160" s="22">
        <v>12</v>
      </c>
      <c r="U160" s="21">
        <v>1200</v>
      </c>
      <c r="V160" s="21">
        <v>7920</v>
      </c>
      <c r="W160" s="21">
        <v>1200</v>
      </c>
      <c r="X160" s="21">
        <v>1450</v>
      </c>
      <c r="Y160" s="94">
        <v>4751</v>
      </c>
      <c r="Z160" s="116">
        <v>7920</v>
      </c>
      <c r="AA160" s="87">
        <v>168300000</v>
      </c>
      <c r="AB160" s="29">
        <v>168300000</v>
      </c>
      <c r="AC160" s="29">
        <v>526050000</v>
      </c>
      <c r="AD160" s="21">
        <v>612254000</v>
      </c>
      <c r="AE160" s="29">
        <f t="shared" si="4"/>
        <v>1474904000</v>
      </c>
      <c r="AF160" s="30" t="s">
        <v>1144</v>
      </c>
    </row>
    <row r="161" spans="1:32" ht="193.2" x14ac:dyDescent="0.3">
      <c r="A161" s="148"/>
      <c r="B161" s="159">
        <v>0</v>
      </c>
      <c r="C161" s="148"/>
      <c r="D161" s="160">
        <v>0</v>
      </c>
      <c r="E161" s="75">
        <v>9.6009999999999991</v>
      </c>
      <c r="F161" s="75">
        <f>3.669+2.483</f>
        <v>6.1520000000000001</v>
      </c>
      <c r="G161" s="74">
        <f>5.937+1-2+0.5</f>
        <v>5.4370000000000003</v>
      </c>
      <c r="H161" s="75">
        <f>8.081+1-2.5+2.2-0.3</f>
        <v>8.4809999999999981</v>
      </c>
      <c r="I161" s="75">
        <v>9.1969999999999992</v>
      </c>
      <c r="J161" s="73">
        <v>53050020009</v>
      </c>
      <c r="K161" s="30" t="s">
        <v>2124</v>
      </c>
      <c r="L161" s="30" t="s">
        <v>2125</v>
      </c>
      <c r="M161" s="22" t="s">
        <v>107</v>
      </c>
      <c r="N161" s="22" t="s">
        <v>373</v>
      </c>
      <c r="O161" s="73" t="s">
        <v>971</v>
      </c>
      <c r="P161" s="22" t="s">
        <v>972</v>
      </c>
      <c r="Q161" s="22" t="s">
        <v>373</v>
      </c>
      <c r="R161" s="22">
        <v>11</v>
      </c>
      <c r="S161" s="21">
        <v>45</v>
      </c>
      <c r="T161" s="22">
        <v>12</v>
      </c>
      <c r="U161" s="21">
        <v>4952</v>
      </c>
      <c r="V161" s="21">
        <v>8777</v>
      </c>
      <c r="W161" s="21">
        <v>5373</v>
      </c>
      <c r="X161" s="21">
        <v>5419</v>
      </c>
      <c r="Y161" s="94">
        <v>5489</v>
      </c>
      <c r="Z161" s="116">
        <v>8777</v>
      </c>
      <c r="AA161" s="105">
        <v>8633875000</v>
      </c>
      <c r="AB161" s="49">
        <v>6744480644</v>
      </c>
      <c r="AC161" s="49">
        <v>5000000000</v>
      </c>
      <c r="AD161" s="29">
        <v>3000000000</v>
      </c>
      <c r="AE161" s="29">
        <f t="shared" si="4"/>
        <v>23378355644</v>
      </c>
      <c r="AF161" s="30" t="s">
        <v>1144</v>
      </c>
    </row>
    <row r="162" spans="1:32" ht="41.4" x14ac:dyDescent="0.3">
      <c r="A162" s="148"/>
      <c r="B162" s="159">
        <v>0</v>
      </c>
      <c r="C162" s="148"/>
      <c r="D162" s="160">
        <v>0</v>
      </c>
      <c r="E162" s="75">
        <v>4.2799999999999994</v>
      </c>
      <c r="F162" s="75">
        <f>4.483-2.483-2+4.449</f>
        <v>4.4489999999999998</v>
      </c>
      <c r="G162" s="74">
        <f>3.411-1.7-1.711+1.231+2+0.5+0.6+0.4+0.5</f>
        <v>5.2309999999999999</v>
      </c>
      <c r="H162" s="75">
        <f>3.487-1.5-0.987-1</f>
        <v>0</v>
      </c>
      <c r="I162" s="75">
        <v>3.9149999999999996</v>
      </c>
      <c r="J162" s="73">
        <v>53050020010</v>
      </c>
      <c r="K162" s="30" t="s">
        <v>2126</v>
      </c>
      <c r="L162" s="30" t="s">
        <v>2127</v>
      </c>
      <c r="M162" s="22" t="s">
        <v>107</v>
      </c>
      <c r="N162" s="22" t="s">
        <v>373</v>
      </c>
      <c r="O162" s="73" t="s">
        <v>381</v>
      </c>
      <c r="P162" s="22" t="s">
        <v>973</v>
      </c>
      <c r="Q162" s="22" t="s">
        <v>373</v>
      </c>
      <c r="R162" s="22">
        <v>13</v>
      </c>
      <c r="S162" s="21">
        <v>45</v>
      </c>
      <c r="T162" s="22">
        <v>12</v>
      </c>
      <c r="U162" s="21">
        <v>0</v>
      </c>
      <c r="V162" s="21">
        <v>300</v>
      </c>
      <c r="W162" s="21">
        <v>75</v>
      </c>
      <c r="X162" s="21">
        <v>120</v>
      </c>
      <c r="Y162" s="94">
        <v>300</v>
      </c>
      <c r="Z162" s="116">
        <v>0</v>
      </c>
      <c r="AA162" s="111">
        <v>366125000</v>
      </c>
      <c r="AB162" s="21">
        <v>1146750000</v>
      </c>
      <c r="AC162" s="21">
        <v>5000000000</v>
      </c>
      <c r="AD162" s="29">
        <v>0</v>
      </c>
      <c r="AE162" s="29">
        <f t="shared" si="4"/>
        <v>6512875000</v>
      </c>
      <c r="AF162" s="30" t="s">
        <v>1144</v>
      </c>
    </row>
    <row r="163" spans="1:32" ht="69" x14ac:dyDescent="0.3">
      <c r="A163" s="148"/>
      <c r="B163" s="159">
        <v>0</v>
      </c>
      <c r="C163" s="148"/>
      <c r="D163" s="160">
        <v>0</v>
      </c>
      <c r="E163" s="75">
        <v>4.0259999999999998</v>
      </c>
      <c r="F163" s="75">
        <v>4.7389999999999999</v>
      </c>
      <c r="G163" s="74">
        <v>3.101</v>
      </c>
      <c r="H163" s="75">
        <f>3.161+0.987+1.8+1.5-0.3</f>
        <v>7.1479999999999997</v>
      </c>
      <c r="I163" s="75">
        <v>3.7570000000000001</v>
      </c>
      <c r="J163" s="73">
        <v>53050020011</v>
      </c>
      <c r="K163" s="30" t="s">
        <v>2128</v>
      </c>
      <c r="L163" s="30" t="s">
        <v>2129</v>
      </c>
      <c r="M163" s="22" t="s">
        <v>107</v>
      </c>
      <c r="N163" s="22" t="s">
        <v>373</v>
      </c>
      <c r="O163" s="73" t="s">
        <v>381</v>
      </c>
      <c r="P163" s="22" t="s">
        <v>974</v>
      </c>
      <c r="Q163" s="22" t="s">
        <v>373</v>
      </c>
      <c r="R163" s="22">
        <v>11</v>
      </c>
      <c r="S163" s="21">
        <v>40</v>
      </c>
      <c r="T163" s="22">
        <v>7</v>
      </c>
      <c r="U163" s="21">
        <v>2409</v>
      </c>
      <c r="V163" s="21">
        <v>4726</v>
      </c>
      <c r="W163" s="21">
        <v>2429</v>
      </c>
      <c r="X163" s="21">
        <v>2809</v>
      </c>
      <c r="Y163" s="94">
        <v>3654</v>
      </c>
      <c r="Z163" s="116">
        <v>4726</v>
      </c>
      <c r="AA163" s="87">
        <v>34473344</v>
      </c>
      <c r="AB163" s="29">
        <v>675049784</v>
      </c>
      <c r="AC163" s="29">
        <v>1326423017</v>
      </c>
      <c r="AD163" s="29">
        <v>1512453043</v>
      </c>
      <c r="AE163" s="29">
        <f t="shared" si="4"/>
        <v>3548399188</v>
      </c>
      <c r="AF163" s="30" t="s">
        <v>1142</v>
      </c>
    </row>
    <row r="164" spans="1:32" ht="41.4" x14ac:dyDescent="0.3">
      <c r="A164" s="148"/>
      <c r="B164" s="159">
        <v>0</v>
      </c>
      <c r="C164" s="148"/>
      <c r="D164" s="160">
        <v>0</v>
      </c>
      <c r="E164" s="75">
        <v>0</v>
      </c>
      <c r="F164" s="75">
        <v>3.27</v>
      </c>
      <c r="G164" s="74">
        <v>3.177</v>
      </c>
      <c r="H164" s="75">
        <v>3.7549999999999999</v>
      </c>
      <c r="I164" s="75">
        <v>2.8000000000000003</v>
      </c>
      <c r="J164" s="73">
        <v>53050020012</v>
      </c>
      <c r="K164" s="30" t="s">
        <v>2130</v>
      </c>
      <c r="L164" s="30" t="s">
        <v>2131</v>
      </c>
      <c r="M164" s="22" t="s">
        <v>107</v>
      </c>
      <c r="N164" s="22" t="s">
        <v>373</v>
      </c>
      <c r="O164" s="73" t="s">
        <v>381</v>
      </c>
      <c r="P164" s="22" t="s">
        <v>975</v>
      </c>
      <c r="Q164" s="22" t="s">
        <v>373</v>
      </c>
      <c r="R164" s="22">
        <v>15</v>
      </c>
      <c r="S164" s="21">
        <v>32</v>
      </c>
      <c r="T164" s="22">
        <v>18</v>
      </c>
      <c r="U164" s="21">
        <v>0</v>
      </c>
      <c r="V164" s="21">
        <v>22</v>
      </c>
      <c r="W164" s="21">
        <v>0</v>
      </c>
      <c r="X164" s="21">
        <v>7</v>
      </c>
      <c r="Y164" s="94">
        <v>14</v>
      </c>
      <c r="Z164" s="116">
        <v>22</v>
      </c>
      <c r="AA164" s="87">
        <v>0</v>
      </c>
      <c r="AB164" s="29">
        <v>507784000</v>
      </c>
      <c r="AC164" s="29">
        <v>500300304</v>
      </c>
      <c r="AD164" s="29">
        <v>480000000</v>
      </c>
      <c r="AE164" s="29">
        <f t="shared" si="4"/>
        <v>1488084304</v>
      </c>
      <c r="AF164" s="30" t="s">
        <v>372</v>
      </c>
    </row>
    <row r="165" spans="1:32" ht="69" x14ac:dyDescent="0.3">
      <c r="A165" s="148"/>
      <c r="B165" s="159">
        <v>0</v>
      </c>
      <c r="C165" s="148"/>
      <c r="D165" s="160">
        <v>0</v>
      </c>
      <c r="E165" s="75">
        <v>4.4710000000000001</v>
      </c>
      <c r="F165" s="75">
        <v>3.9219999999999997</v>
      </c>
      <c r="G165" s="74">
        <f>3.875-0.5-0.6</f>
        <v>2.7749999999999999</v>
      </c>
      <c r="H165" s="75">
        <f>3</f>
        <v>3</v>
      </c>
      <c r="I165" s="75">
        <v>3.8170000000000002</v>
      </c>
      <c r="J165" s="73">
        <v>53050020013</v>
      </c>
      <c r="K165" s="30" t="s">
        <v>2132</v>
      </c>
      <c r="L165" s="30" t="s">
        <v>2133</v>
      </c>
      <c r="M165" s="22" t="s">
        <v>107</v>
      </c>
      <c r="N165" s="22" t="s">
        <v>373</v>
      </c>
      <c r="O165" s="73" t="s">
        <v>381</v>
      </c>
      <c r="P165" s="22" t="s">
        <v>976</v>
      </c>
      <c r="Q165" s="22" t="s">
        <v>373</v>
      </c>
      <c r="R165" s="22">
        <v>13</v>
      </c>
      <c r="S165" s="21">
        <v>40</v>
      </c>
      <c r="T165" s="22">
        <v>7</v>
      </c>
      <c r="U165" s="21">
        <v>124</v>
      </c>
      <c r="V165" s="21">
        <v>181</v>
      </c>
      <c r="W165" s="21">
        <v>134</v>
      </c>
      <c r="X165" s="21">
        <v>134</v>
      </c>
      <c r="Y165" s="94">
        <v>161</v>
      </c>
      <c r="Z165" s="116">
        <v>181</v>
      </c>
      <c r="AA165" s="87">
        <v>615676463</v>
      </c>
      <c r="AB165" s="29">
        <v>388350810</v>
      </c>
      <c r="AC165" s="29">
        <v>332409000</v>
      </c>
      <c r="AD165" s="21">
        <v>246462440</v>
      </c>
      <c r="AE165" s="29">
        <f t="shared" si="4"/>
        <v>1582898713</v>
      </c>
      <c r="AF165" s="30" t="s">
        <v>1140</v>
      </c>
    </row>
    <row r="166" spans="1:32" ht="41.4" x14ac:dyDescent="0.3">
      <c r="A166" s="148"/>
      <c r="B166" s="159">
        <v>0</v>
      </c>
      <c r="C166" s="148"/>
      <c r="D166" s="160">
        <v>0</v>
      </c>
      <c r="E166" s="75">
        <v>0</v>
      </c>
      <c r="F166" s="75">
        <v>7.7030000000000003</v>
      </c>
      <c r="G166" s="74">
        <f>11.392-2</f>
        <v>9.3919999999999995</v>
      </c>
      <c r="H166" s="75">
        <f>17.727-7.7-3-2.5-1.8-0.5</f>
        <v>2.2270000000000012</v>
      </c>
      <c r="I166" s="75">
        <v>13.581</v>
      </c>
      <c r="J166" s="73">
        <v>53050020014</v>
      </c>
      <c r="K166" s="30" t="s">
        <v>2134</v>
      </c>
      <c r="L166" s="30" t="s">
        <v>2135</v>
      </c>
      <c r="M166" s="22" t="s">
        <v>107</v>
      </c>
      <c r="N166" s="22" t="s">
        <v>373</v>
      </c>
      <c r="O166" s="73" t="s">
        <v>819</v>
      </c>
      <c r="P166" s="22" t="s">
        <v>977</v>
      </c>
      <c r="Q166" s="22" t="s">
        <v>373</v>
      </c>
      <c r="R166" s="22">
        <v>11</v>
      </c>
      <c r="S166" s="21">
        <v>40</v>
      </c>
      <c r="T166" s="22">
        <v>7</v>
      </c>
      <c r="U166" s="21">
        <v>0</v>
      </c>
      <c r="V166" s="21">
        <v>400</v>
      </c>
      <c r="W166" s="21">
        <v>0</v>
      </c>
      <c r="X166" s="21">
        <v>1</v>
      </c>
      <c r="Y166" s="94">
        <v>1</v>
      </c>
      <c r="Z166" s="116">
        <v>400</v>
      </c>
      <c r="AA166" s="87">
        <v>0</v>
      </c>
      <c r="AB166" s="29">
        <v>1500000000</v>
      </c>
      <c r="AC166" s="29">
        <v>9463680400</v>
      </c>
      <c r="AD166" s="21">
        <v>55594000</v>
      </c>
      <c r="AE166" s="29">
        <f t="shared" si="4"/>
        <v>11019274400</v>
      </c>
      <c r="AF166" s="30" t="s">
        <v>1140</v>
      </c>
    </row>
    <row r="167" spans="1:32" ht="82.8" x14ac:dyDescent="0.3">
      <c r="A167" s="148"/>
      <c r="B167" s="159">
        <v>0</v>
      </c>
      <c r="C167" s="148"/>
      <c r="D167" s="160">
        <v>0</v>
      </c>
      <c r="E167" s="75">
        <v>5.7880000000000003</v>
      </c>
      <c r="F167" s="75">
        <v>4.6059999999999999</v>
      </c>
      <c r="G167" s="74">
        <v>9.3549999999999986</v>
      </c>
      <c r="H167" s="75">
        <f>9.082-2.2-2.2-1.5</f>
        <v>3.1820000000000004</v>
      </c>
      <c r="I167" s="75">
        <v>7.2080000000000002</v>
      </c>
      <c r="J167" s="73">
        <v>53050020015</v>
      </c>
      <c r="K167" s="30" t="s">
        <v>2136</v>
      </c>
      <c r="L167" s="30" t="s">
        <v>2137</v>
      </c>
      <c r="M167" s="22" t="s">
        <v>107</v>
      </c>
      <c r="N167" s="22" t="s">
        <v>373</v>
      </c>
      <c r="O167" s="73" t="s">
        <v>381</v>
      </c>
      <c r="P167" s="22" t="s">
        <v>2160</v>
      </c>
      <c r="Q167" s="22" t="s">
        <v>373</v>
      </c>
      <c r="R167" s="22">
        <v>11</v>
      </c>
      <c r="S167" s="21">
        <v>40</v>
      </c>
      <c r="T167" s="22">
        <v>7</v>
      </c>
      <c r="U167" s="21">
        <v>0</v>
      </c>
      <c r="V167" s="21">
        <v>539</v>
      </c>
      <c r="W167" s="21">
        <v>539</v>
      </c>
      <c r="X167" s="21">
        <v>539</v>
      </c>
      <c r="Y167" s="94">
        <v>539</v>
      </c>
      <c r="Z167" s="116">
        <v>539</v>
      </c>
      <c r="AA167" s="87">
        <v>1031210000</v>
      </c>
      <c r="AB167" s="29">
        <v>323380000</v>
      </c>
      <c r="AC167" s="29">
        <v>12386748528</v>
      </c>
      <c r="AD167" s="29">
        <v>250000000</v>
      </c>
      <c r="AE167" s="29">
        <f t="shared" si="4"/>
        <v>13991338528</v>
      </c>
      <c r="AF167" s="30" t="s">
        <v>1140</v>
      </c>
    </row>
    <row r="168" spans="1:32" ht="55.2" x14ac:dyDescent="0.3">
      <c r="A168" s="148"/>
      <c r="B168" s="159">
        <v>0</v>
      </c>
      <c r="C168" s="148"/>
      <c r="D168" s="160">
        <v>0</v>
      </c>
      <c r="E168" s="75">
        <v>4.0550000000000006</v>
      </c>
      <c r="F168" s="75">
        <v>3.5589999999999997</v>
      </c>
      <c r="G168" s="74">
        <v>9.7900000000000009</v>
      </c>
      <c r="H168" s="75">
        <f>9.881+6.47+3-6.47-0.8</f>
        <v>12.081</v>
      </c>
      <c r="I168" s="75">
        <v>6.8210000000000006</v>
      </c>
      <c r="J168" s="73">
        <v>53050020016</v>
      </c>
      <c r="K168" s="30" t="s">
        <v>2138</v>
      </c>
      <c r="L168" s="30" t="s">
        <v>2139</v>
      </c>
      <c r="M168" s="22" t="s">
        <v>107</v>
      </c>
      <c r="N168" s="22" t="s">
        <v>374</v>
      </c>
      <c r="O168" s="73" t="s">
        <v>417</v>
      </c>
      <c r="P168" s="22" t="s">
        <v>2161</v>
      </c>
      <c r="Q168" s="22" t="s">
        <v>373</v>
      </c>
      <c r="R168" s="22">
        <v>6</v>
      </c>
      <c r="S168" s="21">
        <v>32</v>
      </c>
      <c r="T168" s="22">
        <v>3</v>
      </c>
      <c r="U168" s="21">
        <v>0</v>
      </c>
      <c r="V168" s="21">
        <v>100</v>
      </c>
      <c r="W168" s="21">
        <v>10</v>
      </c>
      <c r="X168" s="21">
        <v>30</v>
      </c>
      <c r="Y168" s="94">
        <v>60</v>
      </c>
      <c r="Z168" s="116">
        <v>100</v>
      </c>
      <c r="AA168" s="87">
        <v>72000000</v>
      </c>
      <c r="AB168" s="29">
        <v>2400000000</v>
      </c>
      <c r="AC168" s="29">
        <v>16000000000</v>
      </c>
      <c r="AD168" s="21">
        <v>11872500557</v>
      </c>
      <c r="AE168" s="29">
        <f t="shared" si="4"/>
        <v>30344500557</v>
      </c>
      <c r="AF168" s="30" t="s">
        <v>365</v>
      </c>
    </row>
    <row r="169" spans="1:32" ht="82.8" x14ac:dyDescent="0.3">
      <c r="A169" s="148"/>
      <c r="B169" s="159">
        <v>0</v>
      </c>
      <c r="C169" s="148"/>
      <c r="D169" s="160">
        <v>0</v>
      </c>
      <c r="E169" s="75">
        <v>16.375</v>
      </c>
      <c r="F169" s="75">
        <f>11.5+4.449+3.297-4.449</f>
        <v>14.796999999999999</v>
      </c>
      <c r="G169" s="74">
        <f>6+2+1.711+1</f>
        <v>10.711</v>
      </c>
      <c r="H169" s="75">
        <v>0</v>
      </c>
      <c r="I169" s="75">
        <v>4.0939999999999994</v>
      </c>
      <c r="J169" s="73">
        <v>53050020017</v>
      </c>
      <c r="K169" s="30" t="s">
        <v>2140</v>
      </c>
      <c r="L169" s="30" t="s">
        <v>2141</v>
      </c>
      <c r="M169" s="22" t="s">
        <v>107</v>
      </c>
      <c r="N169" s="22" t="s">
        <v>373</v>
      </c>
      <c r="O169" s="73" t="s">
        <v>381</v>
      </c>
      <c r="P169" s="22" t="s">
        <v>978</v>
      </c>
      <c r="Q169" s="22" t="s">
        <v>373</v>
      </c>
      <c r="R169" s="22">
        <v>11</v>
      </c>
      <c r="S169" s="21">
        <v>40</v>
      </c>
      <c r="T169" s="22">
        <v>14</v>
      </c>
      <c r="U169" s="21">
        <v>2775</v>
      </c>
      <c r="V169" s="21">
        <v>4786</v>
      </c>
      <c r="W169" s="21">
        <v>3595</v>
      </c>
      <c r="X169" s="21">
        <v>3854</v>
      </c>
      <c r="Y169" s="94">
        <v>3921</v>
      </c>
      <c r="Z169" s="116">
        <v>0</v>
      </c>
      <c r="AA169" s="87">
        <v>897959300</v>
      </c>
      <c r="AB169" s="29">
        <v>33689468587</v>
      </c>
      <c r="AC169" s="29">
        <v>18221969173</v>
      </c>
      <c r="AD169" s="29">
        <v>0</v>
      </c>
      <c r="AE169" s="29">
        <f t="shared" si="4"/>
        <v>52809397060</v>
      </c>
      <c r="AF169" s="30" t="s">
        <v>1144</v>
      </c>
    </row>
    <row r="170" spans="1:32" ht="55.2" x14ac:dyDescent="0.3">
      <c r="A170" s="148"/>
      <c r="B170" s="159">
        <v>0</v>
      </c>
      <c r="C170" s="148"/>
      <c r="D170" s="160">
        <v>0</v>
      </c>
      <c r="E170" s="75">
        <v>20.95</v>
      </c>
      <c r="F170" s="75">
        <f>6.5+3.248</f>
        <v>9.7480000000000011</v>
      </c>
      <c r="G170" s="74">
        <f>8+1.7</f>
        <v>9.6999999999999993</v>
      </c>
      <c r="H170" s="96">
        <f>0+6.47+3.951+0.5+0.5+0.4+0.3+0.3+0.3+0.7+0.8+0.8</f>
        <v>15.021000000000003</v>
      </c>
      <c r="I170" s="75">
        <v>5.2370000000000001</v>
      </c>
      <c r="J170" s="73">
        <v>53050020018</v>
      </c>
      <c r="K170" s="30" t="s">
        <v>2142</v>
      </c>
      <c r="L170" s="30" t="s">
        <v>2143</v>
      </c>
      <c r="M170" s="22" t="s">
        <v>107</v>
      </c>
      <c r="N170" s="22" t="s">
        <v>375</v>
      </c>
      <c r="O170" s="73" t="s">
        <v>381</v>
      </c>
      <c r="P170" s="22" t="s">
        <v>979</v>
      </c>
      <c r="Q170" s="22" t="s">
        <v>373</v>
      </c>
      <c r="R170" s="22">
        <v>13</v>
      </c>
      <c r="S170" s="21">
        <v>32</v>
      </c>
      <c r="T170" s="22">
        <v>12</v>
      </c>
      <c r="U170" s="48">
        <v>13.1</v>
      </c>
      <c r="V170" s="48">
        <v>26.1</v>
      </c>
      <c r="W170" s="48">
        <v>17.100000000000001</v>
      </c>
      <c r="X170" s="21">
        <v>23</v>
      </c>
      <c r="Y170" s="102">
        <v>23.7</v>
      </c>
      <c r="Z170" s="129">
        <v>26.1</v>
      </c>
      <c r="AA170" s="87">
        <v>16006320000</v>
      </c>
      <c r="AB170" s="29">
        <v>16006320000</v>
      </c>
      <c r="AC170" s="29">
        <v>16006320000</v>
      </c>
      <c r="AD170" s="29">
        <v>58335625650</v>
      </c>
      <c r="AE170" s="29">
        <f t="shared" si="4"/>
        <v>106354585650</v>
      </c>
      <c r="AF170" s="30" t="s">
        <v>1144</v>
      </c>
    </row>
    <row r="171" spans="1:32" ht="138" x14ac:dyDescent="0.3">
      <c r="A171" s="148"/>
      <c r="B171" s="159">
        <v>0</v>
      </c>
      <c r="C171" s="148"/>
      <c r="D171" s="160">
        <v>0</v>
      </c>
      <c r="E171" s="75">
        <v>5.3819999999999997</v>
      </c>
      <c r="F171" s="75">
        <v>7.6390000000000002</v>
      </c>
      <c r="G171" s="74">
        <f>7.524-1.2-1-0.5-0.5</f>
        <v>4.3239999999999998</v>
      </c>
      <c r="H171" s="75">
        <f>7.915+1.5+3.951+2.5-3.951-0.8</f>
        <v>11.114999999999998</v>
      </c>
      <c r="I171" s="75">
        <v>7.6149999999999993</v>
      </c>
      <c r="J171" s="73">
        <v>53050020019</v>
      </c>
      <c r="K171" s="30" t="s">
        <v>2144</v>
      </c>
      <c r="L171" s="30" t="s">
        <v>2145</v>
      </c>
      <c r="M171" s="22" t="s">
        <v>107</v>
      </c>
      <c r="N171" s="22" t="s">
        <v>374</v>
      </c>
      <c r="O171" s="73" t="s">
        <v>980</v>
      </c>
      <c r="P171" s="22" t="s">
        <v>981</v>
      </c>
      <c r="Q171" s="22" t="s">
        <v>373</v>
      </c>
      <c r="R171" s="22">
        <v>11</v>
      </c>
      <c r="S171" s="21">
        <v>23</v>
      </c>
      <c r="T171" s="22">
        <v>6</v>
      </c>
      <c r="U171" s="21">
        <v>0</v>
      </c>
      <c r="V171" s="21">
        <v>100</v>
      </c>
      <c r="W171" s="21">
        <v>5</v>
      </c>
      <c r="X171" s="21">
        <v>31</v>
      </c>
      <c r="Y171" s="94">
        <v>66</v>
      </c>
      <c r="Z171" s="116">
        <v>100</v>
      </c>
      <c r="AA171" s="87">
        <v>500000000</v>
      </c>
      <c r="AB171" s="29">
        <v>6973977223</v>
      </c>
      <c r="AC171" s="29">
        <v>3500000000</v>
      </c>
      <c r="AD171" s="29">
        <v>8000000000</v>
      </c>
      <c r="AE171" s="29">
        <f t="shared" si="4"/>
        <v>18973977223</v>
      </c>
      <c r="AF171" s="30" t="s">
        <v>365</v>
      </c>
    </row>
    <row r="172" spans="1:32" ht="55.2" x14ac:dyDescent="0.3">
      <c r="A172" s="148"/>
      <c r="B172" s="159">
        <v>0</v>
      </c>
      <c r="C172" s="148"/>
      <c r="D172" s="160">
        <v>0</v>
      </c>
      <c r="E172" s="75">
        <v>0</v>
      </c>
      <c r="F172" s="75">
        <f>3.248-3.248</f>
        <v>0</v>
      </c>
      <c r="G172" s="74">
        <f>0+2-2+1.2+2.5</f>
        <v>3.7</v>
      </c>
      <c r="H172" s="75">
        <v>0</v>
      </c>
      <c r="I172" s="75">
        <v>0.81200000000000006</v>
      </c>
      <c r="J172" s="73">
        <v>53050020020</v>
      </c>
      <c r="K172" s="30" t="s">
        <v>2146</v>
      </c>
      <c r="L172" s="30" t="s">
        <v>2147</v>
      </c>
      <c r="M172" s="22" t="s">
        <v>144</v>
      </c>
      <c r="N172" s="22" t="s">
        <v>373</v>
      </c>
      <c r="O172" s="73" t="s">
        <v>381</v>
      </c>
      <c r="P172" s="22" t="s">
        <v>982</v>
      </c>
      <c r="Q172" s="22" t="s">
        <v>373</v>
      </c>
      <c r="R172" s="22">
        <v>11</v>
      </c>
      <c r="S172" s="21">
        <v>45</v>
      </c>
      <c r="T172" s="22">
        <v>12</v>
      </c>
      <c r="U172" s="21">
        <v>1</v>
      </c>
      <c r="V172" s="21">
        <v>1</v>
      </c>
      <c r="W172" s="21">
        <v>0</v>
      </c>
      <c r="X172" s="21">
        <v>0</v>
      </c>
      <c r="Y172" s="94">
        <v>1</v>
      </c>
      <c r="Z172" s="116">
        <v>0</v>
      </c>
      <c r="AA172" s="87">
        <v>0</v>
      </c>
      <c r="AB172" s="29">
        <v>0</v>
      </c>
      <c r="AC172" s="29">
        <v>1000000000</v>
      </c>
      <c r="AD172" s="29">
        <v>0</v>
      </c>
      <c r="AE172" s="29">
        <f t="shared" si="4"/>
        <v>1000000000</v>
      </c>
      <c r="AF172" s="30" t="s">
        <v>1144</v>
      </c>
    </row>
    <row r="173" spans="1:32" ht="69" x14ac:dyDescent="0.3">
      <c r="A173" s="148"/>
      <c r="B173" s="159">
        <v>0</v>
      </c>
      <c r="C173" s="148" t="s">
        <v>2148</v>
      </c>
      <c r="D173" s="160">
        <v>31.895</v>
      </c>
      <c r="E173" s="75">
        <v>42.341000000000001</v>
      </c>
      <c r="F173" s="75">
        <f>40.582+9+10</f>
        <v>59.582000000000001</v>
      </c>
      <c r="G173" s="75">
        <v>41.010999999999996</v>
      </c>
      <c r="H173" s="75">
        <f>42.211+15+7</f>
        <v>64.210999999999999</v>
      </c>
      <c r="I173" s="75">
        <v>41.536000000000001</v>
      </c>
      <c r="J173" s="73">
        <v>53050030001</v>
      </c>
      <c r="K173" s="30" t="s">
        <v>2149</v>
      </c>
      <c r="L173" s="30" t="s">
        <v>2150</v>
      </c>
      <c r="M173" s="22" t="s">
        <v>144</v>
      </c>
      <c r="N173" s="22" t="s">
        <v>373</v>
      </c>
      <c r="O173" s="73" t="s">
        <v>381</v>
      </c>
      <c r="P173" s="22" t="s">
        <v>983</v>
      </c>
      <c r="Q173" s="22" t="s">
        <v>373</v>
      </c>
      <c r="R173" s="22">
        <v>13</v>
      </c>
      <c r="S173" s="21">
        <v>45</v>
      </c>
      <c r="T173" s="22">
        <v>12</v>
      </c>
      <c r="U173" s="21">
        <v>4</v>
      </c>
      <c r="V173" s="21">
        <v>4</v>
      </c>
      <c r="W173" s="21">
        <v>4</v>
      </c>
      <c r="X173" s="21">
        <v>4</v>
      </c>
      <c r="Y173" s="94">
        <v>4</v>
      </c>
      <c r="Z173" s="116">
        <v>4</v>
      </c>
      <c r="AA173" s="87">
        <v>29200423428</v>
      </c>
      <c r="AB173" s="29">
        <v>29474386588</v>
      </c>
      <c r="AC173" s="29">
        <v>30179197000</v>
      </c>
      <c r="AD173" s="49">
        <v>27269660776</v>
      </c>
      <c r="AE173" s="29">
        <f t="shared" si="4"/>
        <v>116123667792</v>
      </c>
      <c r="AF173" s="30" t="s">
        <v>1144</v>
      </c>
    </row>
    <row r="174" spans="1:32" ht="41.4" x14ac:dyDescent="0.3">
      <c r="A174" s="148"/>
      <c r="B174" s="159">
        <v>0</v>
      </c>
      <c r="C174" s="148"/>
      <c r="D174" s="160">
        <v>0</v>
      </c>
      <c r="E174" s="75">
        <v>29.065000000000001</v>
      </c>
      <c r="F174" s="75">
        <f>31.104-9</f>
        <v>22.103999999999999</v>
      </c>
      <c r="G174" s="75">
        <v>29.785</v>
      </c>
      <c r="H174" s="75">
        <f>29.874-15-2</f>
        <v>12.873999999999999</v>
      </c>
      <c r="I174" s="75">
        <v>29.957000000000001</v>
      </c>
      <c r="J174" s="73">
        <v>53050030002</v>
      </c>
      <c r="K174" s="30" t="s">
        <v>2151</v>
      </c>
      <c r="L174" s="30" t="s">
        <v>2152</v>
      </c>
      <c r="M174" s="22" t="s">
        <v>144</v>
      </c>
      <c r="N174" s="22" t="s">
        <v>373</v>
      </c>
      <c r="O174" s="73" t="s">
        <v>381</v>
      </c>
      <c r="P174" s="22" t="s">
        <v>984</v>
      </c>
      <c r="Q174" s="22" t="s">
        <v>373</v>
      </c>
      <c r="R174" s="22">
        <v>13</v>
      </c>
      <c r="S174" s="21">
        <v>45</v>
      </c>
      <c r="T174" s="22">
        <v>12</v>
      </c>
      <c r="U174" s="21">
        <v>1</v>
      </c>
      <c r="V174" s="21">
        <v>1</v>
      </c>
      <c r="W174" s="21">
        <v>1</v>
      </c>
      <c r="X174" s="21">
        <v>1</v>
      </c>
      <c r="Y174" s="94">
        <v>1</v>
      </c>
      <c r="Z174" s="116">
        <v>1</v>
      </c>
      <c r="AA174" s="87">
        <v>929000000</v>
      </c>
      <c r="AB174" s="29">
        <v>3088632000</v>
      </c>
      <c r="AC174" s="29">
        <v>325000000</v>
      </c>
      <c r="AD174" s="21">
        <v>847450000</v>
      </c>
      <c r="AE174" s="29">
        <f t="shared" si="4"/>
        <v>5190082000</v>
      </c>
      <c r="AF174" s="30" t="s">
        <v>1144</v>
      </c>
    </row>
    <row r="175" spans="1:32" ht="262.2" x14ac:dyDescent="0.3">
      <c r="A175" s="148"/>
      <c r="B175" s="159">
        <v>0</v>
      </c>
      <c r="C175" s="148"/>
      <c r="D175" s="160">
        <v>0</v>
      </c>
      <c r="E175" s="75">
        <v>28.594000000000001</v>
      </c>
      <c r="F175" s="75">
        <f>28.314-10</f>
        <v>18.314</v>
      </c>
      <c r="G175" s="75">
        <v>29.204000000000001</v>
      </c>
      <c r="H175" s="75">
        <f>27.915-7+2</f>
        <v>22.914999999999999</v>
      </c>
      <c r="I175" s="75">
        <v>28.506999999999998</v>
      </c>
      <c r="J175" s="73">
        <v>53050030003</v>
      </c>
      <c r="K175" s="30" t="s">
        <v>2153</v>
      </c>
      <c r="L175" s="30" t="s">
        <v>2154</v>
      </c>
      <c r="M175" s="22" t="s">
        <v>107</v>
      </c>
      <c r="N175" s="22" t="s">
        <v>374</v>
      </c>
      <c r="O175" s="73" t="s">
        <v>486</v>
      </c>
      <c r="P175" s="22" t="s">
        <v>985</v>
      </c>
      <c r="Q175" s="22" t="s">
        <v>374</v>
      </c>
      <c r="R175" s="22">
        <v>13</v>
      </c>
      <c r="S175" s="21">
        <v>32</v>
      </c>
      <c r="T175" s="22">
        <v>12</v>
      </c>
      <c r="U175" s="21">
        <v>0</v>
      </c>
      <c r="V175" s="21">
        <v>100</v>
      </c>
      <c r="W175" s="21">
        <v>10</v>
      </c>
      <c r="X175" s="21">
        <v>40</v>
      </c>
      <c r="Y175" s="94">
        <v>70</v>
      </c>
      <c r="Z175" s="116">
        <v>100</v>
      </c>
      <c r="AA175" s="111">
        <v>180000000</v>
      </c>
      <c r="AB175" s="21">
        <v>1996400818</v>
      </c>
      <c r="AC175" s="21">
        <v>1822983150</v>
      </c>
      <c r="AD175" s="21">
        <v>1718886200</v>
      </c>
      <c r="AE175" s="29">
        <f>SUM(AA175:AD175)</f>
        <v>5718270168</v>
      </c>
      <c r="AF175" s="30" t="s">
        <v>1144</v>
      </c>
    </row>
    <row r="176" spans="1:32" x14ac:dyDescent="0.3">
      <c r="X176" s="55"/>
      <c r="Y176" s="55"/>
      <c r="Z176" s="55"/>
      <c r="AA176" s="54"/>
      <c r="AB176" s="54"/>
      <c r="AC176" s="54"/>
      <c r="AD176" s="54"/>
    </row>
    <row r="177" spans="24:30" x14ac:dyDescent="0.3">
      <c r="X177" s="55"/>
      <c r="Y177" s="55"/>
      <c r="Z177" s="55"/>
      <c r="AA177" s="54"/>
      <c r="AB177" s="54"/>
      <c r="AC177" s="54"/>
      <c r="AD177" s="54"/>
    </row>
    <row r="178" spans="24:30" x14ac:dyDescent="0.3">
      <c r="X178" s="55"/>
      <c r="Y178" s="55"/>
      <c r="Z178" s="55"/>
      <c r="AA178" s="54"/>
      <c r="AB178" s="54"/>
      <c r="AC178" s="54"/>
      <c r="AD178" s="54"/>
    </row>
    <row r="179" spans="24:30" x14ac:dyDescent="0.3">
      <c r="X179" s="55"/>
      <c r="Y179" s="55"/>
      <c r="Z179" s="55"/>
      <c r="AA179" s="54"/>
      <c r="AB179" s="54"/>
      <c r="AC179" s="54"/>
      <c r="AD179" s="55"/>
    </row>
    <row r="180" spans="24:30" x14ac:dyDescent="0.3">
      <c r="AD180" s="54"/>
    </row>
    <row r="181" spans="24:30" x14ac:dyDescent="0.3">
      <c r="AD181" s="54"/>
    </row>
    <row r="182" spans="24:30" x14ac:dyDescent="0.3">
      <c r="AD182" s="54"/>
    </row>
    <row r="183" spans="24:30" x14ac:dyDescent="0.3">
      <c r="AD183" s="55"/>
    </row>
    <row r="184" spans="24:30" x14ac:dyDescent="0.3">
      <c r="AD184" s="54"/>
    </row>
    <row r="185" spans="24:30" x14ac:dyDescent="0.3">
      <c r="AD185" s="54"/>
    </row>
    <row r="186" spans="24:30" x14ac:dyDescent="0.3">
      <c r="AD186" s="54"/>
    </row>
    <row r="187" spans="24:30" x14ac:dyDescent="0.3">
      <c r="AD187" s="55"/>
    </row>
    <row r="188" spans="24:30" x14ac:dyDescent="0.3">
      <c r="AD188" s="54"/>
    </row>
    <row r="189" spans="24:30" x14ac:dyDescent="0.3">
      <c r="AD189" s="54"/>
    </row>
    <row r="190" spans="24:30" x14ac:dyDescent="0.3">
      <c r="AD190" s="54"/>
    </row>
    <row r="191" spans="24:30" x14ac:dyDescent="0.3">
      <c r="AD191" s="54"/>
    </row>
  </sheetData>
  <mergeCells count="72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37"/>
    <mergeCell ref="B8:B37"/>
    <mergeCell ref="C8:C14"/>
    <mergeCell ref="D8:D14"/>
    <mergeCell ref="C15:C18"/>
    <mergeCell ref="D15:D18"/>
    <mergeCell ref="C19:C29"/>
    <mergeCell ref="D19:D29"/>
    <mergeCell ref="C30:C37"/>
    <mergeCell ref="D30:D37"/>
    <mergeCell ref="A39:A77"/>
    <mergeCell ref="B39:B77"/>
    <mergeCell ref="C39:C50"/>
    <mergeCell ref="D39:D50"/>
    <mergeCell ref="C51:C54"/>
    <mergeCell ref="D51:D54"/>
    <mergeCell ref="C55:C64"/>
    <mergeCell ref="D55:D64"/>
    <mergeCell ref="C65:C77"/>
    <mergeCell ref="D65:D77"/>
    <mergeCell ref="A79:A99"/>
    <mergeCell ref="B79:B99"/>
    <mergeCell ref="C79:C83"/>
    <mergeCell ref="D79:D83"/>
    <mergeCell ref="C84:C89"/>
    <mergeCell ref="D84:D89"/>
    <mergeCell ref="C90:C97"/>
    <mergeCell ref="D90:D97"/>
    <mergeCell ref="C98:C99"/>
    <mergeCell ref="D98:D99"/>
    <mergeCell ref="A101:A143"/>
    <mergeCell ref="B101:B143"/>
    <mergeCell ref="C101:C104"/>
    <mergeCell ref="D101:D104"/>
    <mergeCell ref="C105:C110"/>
    <mergeCell ref="D105:D110"/>
    <mergeCell ref="C111:C123"/>
    <mergeCell ref="D111:D123"/>
    <mergeCell ref="C124:C131"/>
    <mergeCell ref="D124:D131"/>
    <mergeCell ref="C132:C143"/>
    <mergeCell ref="D132:D143"/>
    <mergeCell ref="A145:A175"/>
    <mergeCell ref="B145:B175"/>
    <mergeCell ref="C145:C152"/>
    <mergeCell ref="D145:D152"/>
    <mergeCell ref="C153:C172"/>
    <mergeCell ref="D153:D172"/>
    <mergeCell ref="C173:C175"/>
    <mergeCell ref="D173:D175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54"/>
  <sheetViews>
    <sheetView showGridLines="0" zoomScale="90" zoomScaleNormal="90" zoomScaleSheetLayoutView="40" workbookViewId="0">
      <selection activeCell="A2" sqref="A2"/>
    </sheetView>
  </sheetViews>
  <sheetFormatPr baseColWidth="10" defaultColWidth="11.44140625" defaultRowHeight="13.8" x14ac:dyDescent="0.3"/>
  <cols>
    <col min="1" max="1" width="11.5546875" style="4" customWidth="1"/>
    <col min="2" max="2" width="11.21875" style="4" customWidth="1"/>
    <col min="3" max="3" width="9.6640625" style="4" customWidth="1"/>
    <col min="4" max="4" width="10.44140625" style="4" customWidth="1"/>
    <col min="5" max="5" width="8.109375" style="4" customWidth="1"/>
    <col min="6" max="8" width="7.6640625" style="4" customWidth="1"/>
    <col min="9" max="9" width="8.6640625" style="4" customWidth="1"/>
    <col min="10" max="10" width="12.109375" style="4" customWidth="1"/>
    <col min="11" max="11" width="25.6640625" style="5" customWidth="1"/>
    <col min="12" max="12" width="28.88671875" style="6" customWidth="1"/>
    <col min="13" max="13" width="10.5546875" style="6" customWidth="1"/>
    <col min="14" max="15" width="10.33203125" style="6" customWidth="1"/>
    <col min="16" max="16" width="20.6640625" style="6" customWidth="1"/>
    <col min="17" max="20" width="9.33203125" style="1" customWidth="1"/>
    <col min="21" max="22" width="8.5546875" style="7" customWidth="1"/>
    <col min="23" max="26" width="8.5546875" style="1" customWidth="1"/>
    <col min="27" max="30" width="12.5546875" style="1" customWidth="1"/>
    <col min="31" max="31" width="13.88671875" style="1" customWidth="1"/>
    <col min="32" max="32" width="25.6640625" style="1" customWidth="1"/>
    <col min="33" max="16384" width="11.44140625" style="1"/>
  </cols>
  <sheetData>
    <row r="1" spans="1:32" ht="100.05" customHeigh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3" spans="1:32" ht="15.75" customHeight="1" x14ac:dyDescent="0.3">
      <c r="A3" s="15" t="s">
        <v>64</v>
      </c>
      <c r="B3" s="16">
        <v>54</v>
      </c>
      <c r="C3" s="15" t="s">
        <v>2450</v>
      </c>
      <c r="E3" s="10"/>
      <c r="F3" s="10"/>
      <c r="G3" s="10"/>
      <c r="H3" s="10"/>
      <c r="I3" s="10"/>
      <c r="J3" s="11"/>
    </row>
    <row r="4" spans="1:32" ht="15.75" customHeight="1" x14ac:dyDescent="0.3">
      <c r="A4" s="72" t="s">
        <v>2452</v>
      </c>
      <c r="B4" s="11"/>
      <c r="C4" s="79">
        <v>11.955</v>
      </c>
      <c r="D4" s="72"/>
      <c r="E4" s="72"/>
      <c r="F4" s="72"/>
      <c r="G4" s="72"/>
      <c r="H4" s="72"/>
      <c r="I4" s="72"/>
      <c r="J4" s="11"/>
    </row>
    <row r="6" spans="1:32" s="2" customFormat="1" ht="24" customHeight="1" x14ac:dyDescent="0.3">
      <c r="A6" s="151" t="s">
        <v>65</v>
      </c>
      <c r="B6" s="154" t="s">
        <v>100</v>
      </c>
      <c r="C6" s="151" t="s">
        <v>0</v>
      </c>
      <c r="D6" s="154" t="s">
        <v>9</v>
      </c>
      <c r="E6" s="158" t="s">
        <v>52</v>
      </c>
      <c r="F6" s="158"/>
      <c r="G6" s="158"/>
      <c r="H6" s="158"/>
      <c r="I6" s="158"/>
      <c r="J6" s="151" t="s">
        <v>3</v>
      </c>
      <c r="K6" s="151" t="s">
        <v>6</v>
      </c>
      <c r="L6" s="151" t="s">
        <v>7</v>
      </c>
      <c r="M6" s="151" t="s">
        <v>61</v>
      </c>
      <c r="N6" s="151" t="s">
        <v>1</v>
      </c>
      <c r="O6" s="151" t="s">
        <v>8</v>
      </c>
      <c r="P6" s="151" t="s">
        <v>2</v>
      </c>
      <c r="Q6" s="151" t="s">
        <v>1</v>
      </c>
      <c r="R6" s="154" t="s">
        <v>67</v>
      </c>
      <c r="S6" s="154" t="s">
        <v>66</v>
      </c>
      <c r="T6" s="154" t="s">
        <v>60</v>
      </c>
      <c r="U6" s="151" t="s">
        <v>101</v>
      </c>
      <c r="V6" s="151" t="s">
        <v>12</v>
      </c>
      <c r="W6" s="153" t="s">
        <v>10</v>
      </c>
      <c r="X6" s="153"/>
      <c r="Y6" s="153"/>
      <c r="Z6" s="153"/>
      <c r="AA6" s="153" t="s">
        <v>11</v>
      </c>
      <c r="AB6" s="153"/>
      <c r="AC6" s="153"/>
      <c r="AD6" s="153"/>
      <c r="AE6" s="153"/>
      <c r="AF6" s="151" t="s">
        <v>4</v>
      </c>
    </row>
    <row r="7" spans="1:32" s="2" customFormat="1" ht="26.25" customHeight="1" x14ac:dyDescent="0.3">
      <c r="A7" s="152"/>
      <c r="B7" s="155"/>
      <c r="C7" s="152"/>
      <c r="D7" s="155"/>
      <c r="E7" s="18">
        <v>2020</v>
      </c>
      <c r="F7" s="18">
        <v>2021</v>
      </c>
      <c r="G7" s="18">
        <v>2022</v>
      </c>
      <c r="H7" s="18">
        <v>2023</v>
      </c>
      <c r="I7" s="18" t="s">
        <v>68</v>
      </c>
      <c r="J7" s="152"/>
      <c r="K7" s="152"/>
      <c r="L7" s="152"/>
      <c r="M7" s="152"/>
      <c r="N7" s="152"/>
      <c r="O7" s="152"/>
      <c r="P7" s="152"/>
      <c r="Q7" s="152"/>
      <c r="R7" s="155"/>
      <c r="S7" s="155"/>
      <c r="T7" s="155"/>
      <c r="U7" s="152"/>
      <c r="V7" s="152"/>
      <c r="W7" s="70" t="s">
        <v>69</v>
      </c>
      <c r="X7" s="70" t="s">
        <v>70</v>
      </c>
      <c r="Y7" s="70" t="s">
        <v>71</v>
      </c>
      <c r="Z7" s="70" t="s">
        <v>72</v>
      </c>
      <c r="AA7" s="70" t="s">
        <v>73</v>
      </c>
      <c r="AB7" s="70" t="s">
        <v>74</v>
      </c>
      <c r="AC7" s="70" t="s">
        <v>75</v>
      </c>
      <c r="AD7" s="70" t="s">
        <v>76</v>
      </c>
      <c r="AE7" s="70" t="s">
        <v>77</v>
      </c>
      <c r="AF7" s="152"/>
    </row>
    <row r="8" spans="1:32" ht="144" customHeight="1" x14ac:dyDescent="0.3">
      <c r="A8" s="172" t="s">
        <v>2162</v>
      </c>
      <c r="B8" s="173">
        <v>23.51</v>
      </c>
      <c r="C8" s="174" t="s">
        <v>2163</v>
      </c>
      <c r="D8" s="174">
        <v>56.037999999999997</v>
      </c>
      <c r="E8" s="99">
        <v>6.2399999999999993</v>
      </c>
      <c r="F8" s="99">
        <f>11.597-6</f>
        <v>5.5969999999999995</v>
      </c>
      <c r="G8" s="99">
        <f>13.547-3.5</f>
        <v>10.047000000000001</v>
      </c>
      <c r="H8" s="99">
        <f>17.39-3.2-3-3-2.5-1.5-2</f>
        <v>2.1900000000000013</v>
      </c>
      <c r="I8" s="99">
        <v>12.193</v>
      </c>
      <c r="J8" s="98">
        <v>54010010001</v>
      </c>
      <c r="K8" s="139" t="s">
        <v>2164</v>
      </c>
      <c r="L8" s="139" t="s">
        <v>2165</v>
      </c>
      <c r="M8" s="83" t="s">
        <v>107</v>
      </c>
      <c r="N8" s="140" t="s">
        <v>373</v>
      </c>
      <c r="O8" s="73" t="s">
        <v>986</v>
      </c>
      <c r="P8" s="22" t="s">
        <v>987</v>
      </c>
      <c r="Q8" s="22" t="s">
        <v>373</v>
      </c>
      <c r="R8" s="22">
        <v>11</v>
      </c>
      <c r="S8" s="21">
        <v>45</v>
      </c>
      <c r="T8" s="22">
        <v>17</v>
      </c>
      <c r="U8" s="21">
        <v>7</v>
      </c>
      <c r="V8" s="21">
        <v>12</v>
      </c>
      <c r="W8" s="21">
        <v>8</v>
      </c>
      <c r="X8" s="21">
        <v>8</v>
      </c>
      <c r="Y8" s="94">
        <v>11</v>
      </c>
      <c r="Z8" s="135">
        <v>12</v>
      </c>
      <c r="AA8" s="87">
        <v>20621667</v>
      </c>
      <c r="AB8" s="29">
        <v>77867055</v>
      </c>
      <c r="AC8" s="130">
        <v>567168000</v>
      </c>
      <c r="AD8" s="141">
        <v>6359000</v>
      </c>
      <c r="AE8" s="87">
        <f t="shared" ref="AE8:AE36" si="0">SUM(AA8:AD8)</f>
        <v>672015722</v>
      </c>
      <c r="AF8" s="82" t="s">
        <v>361</v>
      </c>
    </row>
    <row r="9" spans="1:32" ht="54.75" customHeight="1" x14ac:dyDescent="0.3">
      <c r="A9" s="169"/>
      <c r="B9" s="170">
        <v>0</v>
      </c>
      <c r="C9" s="171"/>
      <c r="D9" s="171">
        <v>0</v>
      </c>
      <c r="E9" s="64">
        <v>8.8260000000000005</v>
      </c>
      <c r="F9" s="64">
        <f>5.523+5+3.5</f>
        <v>14.023</v>
      </c>
      <c r="G9" s="64">
        <f>0+3.5+3</f>
        <v>6.5</v>
      </c>
      <c r="H9" s="64">
        <f>0+4+1.5</f>
        <v>5.5</v>
      </c>
      <c r="I9" s="64">
        <v>3.5880000000000001</v>
      </c>
      <c r="J9" s="65">
        <v>54010010002</v>
      </c>
      <c r="K9" s="68" t="s">
        <v>2166</v>
      </c>
      <c r="L9" s="68" t="s">
        <v>2167</v>
      </c>
      <c r="M9" s="22" t="s">
        <v>107</v>
      </c>
      <c r="N9" s="85" t="s">
        <v>373</v>
      </c>
      <c r="O9" s="73" t="s">
        <v>381</v>
      </c>
      <c r="P9" s="22" t="s">
        <v>988</v>
      </c>
      <c r="Q9" s="22" t="s">
        <v>373</v>
      </c>
      <c r="R9" s="22">
        <v>11</v>
      </c>
      <c r="S9" s="21">
        <v>45</v>
      </c>
      <c r="T9" s="22">
        <v>17</v>
      </c>
      <c r="U9" s="21">
        <v>0</v>
      </c>
      <c r="V9" s="21">
        <v>1</v>
      </c>
      <c r="W9" s="21">
        <v>1</v>
      </c>
      <c r="X9" s="21">
        <v>1</v>
      </c>
      <c r="Y9" s="94">
        <v>1</v>
      </c>
      <c r="Z9" s="21">
        <v>1</v>
      </c>
      <c r="AA9" s="87">
        <v>500000000</v>
      </c>
      <c r="AB9" s="29">
        <v>1381392000</v>
      </c>
      <c r="AC9" s="130">
        <v>180000000</v>
      </c>
      <c r="AD9" s="29">
        <v>93124000</v>
      </c>
      <c r="AE9" s="87">
        <f t="shared" si="0"/>
        <v>2154516000</v>
      </c>
      <c r="AF9" s="30" t="s">
        <v>363</v>
      </c>
    </row>
    <row r="10" spans="1:32" ht="66.75" customHeight="1" x14ac:dyDescent="0.3">
      <c r="A10" s="169"/>
      <c r="B10" s="170">
        <v>0</v>
      </c>
      <c r="C10" s="171"/>
      <c r="D10" s="171">
        <v>0</v>
      </c>
      <c r="E10" s="64">
        <v>21.062000000000001</v>
      </c>
      <c r="F10" s="64">
        <f>12.526+5.523</f>
        <v>18.048999999999999</v>
      </c>
      <c r="G10" s="64">
        <f>14.946-3+2.501</f>
        <v>14.446999999999999</v>
      </c>
      <c r="H10" s="64">
        <f>22.448-3.5-3.5-4.5</f>
        <v>10.948</v>
      </c>
      <c r="I10" s="64">
        <v>17.745000000000001</v>
      </c>
      <c r="J10" s="65">
        <v>54010010003</v>
      </c>
      <c r="K10" s="68" t="s">
        <v>2168</v>
      </c>
      <c r="L10" s="68" t="s">
        <v>2169</v>
      </c>
      <c r="M10" s="22" t="s">
        <v>107</v>
      </c>
      <c r="N10" s="85" t="s">
        <v>374</v>
      </c>
      <c r="O10" s="73" t="s">
        <v>507</v>
      </c>
      <c r="P10" s="22" t="s">
        <v>989</v>
      </c>
      <c r="Q10" s="22" t="s">
        <v>373</v>
      </c>
      <c r="R10" s="22">
        <v>11</v>
      </c>
      <c r="S10" s="21">
        <v>45</v>
      </c>
      <c r="T10" s="22">
        <v>17</v>
      </c>
      <c r="U10" s="21">
        <v>11</v>
      </c>
      <c r="V10" s="21">
        <v>50</v>
      </c>
      <c r="W10" s="21">
        <v>12.3</v>
      </c>
      <c r="X10" s="48">
        <v>24.9</v>
      </c>
      <c r="Y10" s="102">
        <v>37.4</v>
      </c>
      <c r="Z10" s="121">
        <v>50</v>
      </c>
      <c r="AA10" s="87">
        <v>2837654478</v>
      </c>
      <c r="AB10" s="29">
        <v>3420058519</v>
      </c>
      <c r="AC10" s="130">
        <v>1521912494</v>
      </c>
      <c r="AD10" s="131">
        <v>506011172</v>
      </c>
      <c r="AE10" s="87">
        <f t="shared" si="0"/>
        <v>8285636663</v>
      </c>
      <c r="AF10" s="30" t="s">
        <v>371</v>
      </c>
    </row>
    <row r="11" spans="1:32" ht="82.8" x14ac:dyDescent="0.3">
      <c r="A11" s="169"/>
      <c r="B11" s="170">
        <v>0</v>
      </c>
      <c r="C11" s="171"/>
      <c r="D11" s="171">
        <v>0</v>
      </c>
      <c r="E11" s="64">
        <v>19.942</v>
      </c>
      <c r="F11" s="64">
        <f>16.568-3.5</f>
        <v>13.068000000000001</v>
      </c>
      <c r="G11" s="64">
        <f>16.511-3.5-7-6.011</f>
        <v>0</v>
      </c>
      <c r="H11" s="97">
        <f>23.421-3-5.5-14.921+2+1+0.7+3.5+4.5+3.5</f>
        <v>15.2</v>
      </c>
      <c r="I11" s="64">
        <v>19.86</v>
      </c>
      <c r="J11" s="65">
        <v>54010010004</v>
      </c>
      <c r="K11" s="68" t="s">
        <v>2170</v>
      </c>
      <c r="L11" s="68" t="s">
        <v>2171</v>
      </c>
      <c r="M11" s="22" t="s">
        <v>107</v>
      </c>
      <c r="N11" s="85" t="s">
        <v>373</v>
      </c>
      <c r="O11" s="73" t="s">
        <v>408</v>
      </c>
      <c r="P11" s="22" t="s">
        <v>990</v>
      </c>
      <c r="Q11" s="22" t="s">
        <v>373</v>
      </c>
      <c r="R11" s="22">
        <v>11</v>
      </c>
      <c r="S11" s="21">
        <v>40</v>
      </c>
      <c r="T11" s="22">
        <v>17</v>
      </c>
      <c r="U11" s="21">
        <v>12</v>
      </c>
      <c r="V11" s="21">
        <v>23</v>
      </c>
      <c r="W11" s="21">
        <v>15</v>
      </c>
      <c r="X11" s="21">
        <v>18</v>
      </c>
      <c r="Y11" s="113">
        <v>0</v>
      </c>
      <c r="Z11" s="122">
        <v>23</v>
      </c>
      <c r="AA11" s="115">
        <v>2741500000</v>
      </c>
      <c r="AB11" s="61">
        <v>748000000</v>
      </c>
      <c r="AC11" s="133">
        <v>0</v>
      </c>
      <c r="AD11" s="29">
        <v>826472000</v>
      </c>
      <c r="AE11" s="87">
        <f t="shared" si="0"/>
        <v>4315972000</v>
      </c>
      <c r="AF11" s="30" t="s">
        <v>363</v>
      </c>
    </row>
    <row r="12" spans="1:32" ht="144" customHeight="1" x14ac:dyDescent="0.3">
      <c r="A12" s="169"/>
      <c r="B12" s="170">
        <v>0</v>
      </c>
      <c r="C12" s="171"/>
      <c r="D12" s="171">
        <v>0</v>
      </c>
      <c r="E12" s="64">
        <v>9.9030000000000005</v>
      </c>
      <c r="F12" s="64">
        <f>9.587+5.921</f>
        <v>15.507999999999999</v>
      </c>
      <c r="G12" s="64">
        <f>0+3.5-3.5+3.5</f>
        <v>3.5</v>
      </c>
      <c r="H12" s="64">
        <f>0+3.5+4-4-3.5+14.921-3.5</f>
        <v>11.420999999999999</v>
      </c>
      <c r="I12" s="64">
        <v>4.8730000000000002</v>
      </c>
      <c r="J12" s="65">
        <v>54010010005</v>
      </c>
      <c r="K12" s="68" t="s">
        <v>2172</v>
      </c>
      <c r="L12" s="68" t="s">
        <v>2173</v>
      </c>
      <c r="M12" s="22" t="s">
        <v>107</v>
      </c>
      <c r="N12" s="85" t="s">
        <v>373</v>
      </c>
      <c r="O12" s="73" t="s">
        <v>579</v>
      </c>
      <c r="P12" s="22" t="s">
        <v>991</v>
      </c>
      <c r="Q12" s="22" t="s">
        <v>373</v>
      </c>
      <c r="R12" s="22">
        <v>11</v>
      </c>
      <c r="S12" s="21">
        <v>40</v>
      </c>
      <c r="T12" s="22">
        <v>17</v>
      </c>
      <c r="U12" s="21">
        <v>0</v>
      </c>
      <c r="V12" s="21">
        <v>5</v>
      </c>
      <c r="W12" s="21">
        <v>3</v>
      </c>
      <c r="X12" s="94">
        <v>4</v>
      </c>
      <c r="Y12" s="136">
        <v>5</v>
      </c>
      <c r="Z12" s="21">
        <v>5</v>
      </c>
      <c r="AA12" s="137">
        <v>850000000</v>
      </c>
      <c r="AB12" s="138">
        <v>2470400000</v>
      </c>
      <c r="AC12" s="136">
        <v>1460000000</v>
      </c>
      <c r="AD12" s="29">
        <v>597427000</v>
      </c>
      <c r="AE12" s="87">
        <f t="shared" si="0"/>
        <v>5377827000</v>
      </c>
      <c r="AF12" s="30" t="s">
        <v>363</v>
      </c>
    </row>
    <row r="13" spans="1:32" ht="82.5" customHeight="1" x14ac:dyDescent="0.3">
      <c r="A13" s="169"/>
      <c r="B13" s="170">
        <v>0</v>
      </c>
      <c r="C13" s="171"/>
      <c r="D13" s="171">
        <v>0</v>
      </c>
      <c r="E13" s="64">
        <v>7.9229999999999992</v>
      </c>
      <c r="F13" s="64">
        <f>15.921-5-5-5.921</f>
        <v>0</v>
      </c>
      <c r="G13" s="64">
        <v>9.5</v>
      </c>
      <c r="H13" s="64">
        <f>0+3.5+3+3.2-4-0.7</f>
        <v>4.9999999999999991</v>
      </c>
      <c r="I13" s="64">
        <v>5.9610000000000003</v>
      </c>
      <c r="J13" s="65">
        <v>54010010006</v>
      </c>
      <c r="K13" s="68" t="s">
        <v>2174</v>
      </c>
      <c r="L13" s="68" t="s">
        <v>2175</v>
      </c>
      <c r="M13" s="22" t="s">
        <v>107</v>
      </c>
      <c r="N13" s="85" t="s">
        <v>374</v>
      </c>
      <c r="O13" s="73" t="s">
        <v>992</v>
      </c>
      <c r="P13" s="22" t="s">
        <v>993</v>
      </c>
      <c r="Q13" s="22" t="s">
        <v>373</v>
      </c>
      <c r="R13" s="22">
        <v>11</v>
      </c>
      <c r="S13" s="21">
        <v>40</v>
      </c>
      <c r="T13" s="22">
        <v>17</v>
      </c>
      <c r="U13" s="21">
        <v>81</v>
      </c>
      <c r="V13" s="21">
        <v>100</v>
      </c>
      <c r="W13" s="21">
        <v>85</v>
      </c>
      <c r="X13" s="21">
        <v>0</v>
      </c>
      <c r="Y13" s="114">
        <v>93</v>
      </c>
      <c r="Z13" s="21">
        <v>100</v>
      </c>
      <c r="AA13" s="104">
        <v>422541324</v>
      </c>
      <c r="AB13" s="51">
        <v>0</v>
      </c>
      <c r="AC13" s="134">
        <v>170161832</v>
      </c>
      <c r="AD13" s="29">
        <v>37680000</v>
      </c>
      <c r="AE13" s="87">
        <f t="shared" si="0"/>
        <v>630383156</v>
      </c>
      <c r="AF13" s="30" t="s">
        <v>363</v>
      </c>
    </row>
    <row r="14" spans="1:32" ht="141.75" customHeight="1" x14ac:dyDescent="0.3">
      <c r="A14" s="169"/>
      <c r="B14" s="170">
        <v>0</v>
      </c>
      <c r="C14" s="171"/>
      <c r="D14" s="171">
        <v>0</v>
      </c>
      <c r="E14" s="64">
        <v>7.8639999999999999</v>
      </c>
      <c r="F14" s="64">
        <f>3.346+5+6</f>
        <v>14.346</v>
      </c>
      <c r="G14" s="64">
        <f>5.927+9.009+2</f>
        <v>16.936</v>
      </c>
      <c r="H14" s="64">
        <f>0+2+3.6-1</f>
        <v>4.5999999999999996</v>
      </c>
      <c r="I14" s="64">
        <v>4.2840000000000007</v>
      </c>
      <c r="J14" s="65">
        <v>54010010007</v>
      </c>
      <c r="K14" s="68" t="s">
        <v>2176</v>
      </c>
      <c r="L14" s="68" t="s">
        <v>2177</v>
      </c>
      <c r="M14" s="22" t="s">
        <v>107</v>
      </c>
      <c r="N14" s="85" t="s">
        <v>373</v>
      </c>
      <c r="O14" s="73" t="s">
        <v>994</v>
      </c>
      <c r="P14" s="22" t="s">
        <v>995</v>
      </c>
      <c r="Q14" s="22" t="s">
        <v>373</v>
      </c>
      <c r="R14" s="22">
        <v>11</v>
      </c>
      <c r="S14" s="21">
        <v>40</v>
      </c>
      <c r="T14" s="22">
        <v>17</v>
      </c>
      <c r="U14" s="21">
        <v>1</v>
      </c>
      <c r="V14" s="21">
        <v>4</v>
      </c>
      <c r="W14" s="48">
        <v>1.3</v>
      </c>
      <c r="X14" s="21">
        <v>2</v>
      </c>
      <c r="Y14" s="94">
        <v>3</v>
      </c>
      <c r="Z14" s="116">
        <v>4</v>
      </c>
      <c r="AA14" s="87">
        <v>160000000</v>
      </c>
      <c r="AB14" s="29">
        <v>2400000000</v>
      </c>
      <c r="AC14" s="130">
        <v>2500000000</v>
      </c>
      <c r="AD14" s="29">
        <v>25270000</v>
      </c>
      <c r="AE14" s="87">
        <f t="shared" si="0"/>
        <v>5085270000</v>
      </c>
      <c r="AF14" s="30" t="s">
        <v>363</v>
      </c>
    </row>
    <row r="15" spans="1:32" ht="42" customHeight="1" x14ac:dyDescent="0.3">
      <c r="A15" s="169"/>
      <c r="B15" s="170">
        <v>0</v>
      </c>
      <c r="C15" s="171"/>
      <c r="D15" s="171">
        <v>0</v>
      </c>
      <c r="E15" s="64">
        <v>0</v>
      </c>
      <c r="F15" s="64">
        <v>0</v>
      </c>
      <c r="G15" s="64">
        <f>6.501-2-2-2.501+7+3</f>
        <v>10</v>
      </c>
      <c r="H15" s="64">
        <v>0</v>
      </c>
      <c r="I15" s="64">
        <v>1.625</v>
      </c>
      <c r="J15" s="65">
        <v>54010010008</v>
      </c>
      <c r="K15" s="68" t="s">
        <v>2178</v>
      </c>
      <c r="L15" s="68" t="s">
        <v>2179</v>
      </c>
      <c r="M15" s="22" t="s">
        <v>107</v>
      </c>
      <c r="N15" s="85" t="s">
        <v>373</v>
      </c>
      <c r="O15" s="73" t="s">
        <v>381</v>
      </c>
      <c r="P15" s="22" t="s">
        <v>996</v>
      </c>
      <c r="Q15" s="22" t="s">
        <v>373</v>
      </c>
      <c r="R15" s="22">
        <v>11</v>
      </c>
      <c r="S15" s="21">
        <v>32</v>
      </c>
      <c r="T15" s="22">
        <v>17</v>
      </c>
      <c r="U15" s="21">
        <v>0</v>
      </c>
      <c r="V15" s="21">
        <v>1</v>
      </c>
      <c r="W15" s="21">
        <v>0</v>
      </c>
      <c r="X15" s="21">
        <v>0</v>
      </c>
      <c r="Y15" s="94">
        <v>1</v>
      </c>
      <c r="Z15" s="116">
        <v>0</v>
      </c>
      <c r="AA15" s="111">
        <v>0</v>
      </c>
      <c r="AB15" s="21">
        <v>0</v>
      </c>
      <c r="AC15" s="94">
        <v>400000000</v>
      </c>
      <c r="AD15" s="116">
        <v>0</v>
      </c>
      <c r="AE15" s="87">
        <f t="shared" si="0"/>
        <v>400000000</v>
      </c>
      <c r="AF15" s="30" t="s">
        <v>368</v>
      </c>
    </row>
    <row r="16" spans="1:32" ht="42" customHeight="1" x14ac:dyDescent="0.3">
      <c r="A16" s="169"/>
      <c r="B16" s="170">
        <v>0</v>
      </c>
      <c r="C16" s="171"/>
      <c r="D16" s="171">
        <v>0</v>
      </c>
      <c r="E16" s="64">
        <v>6.9320000000000004</v>
      </c>
      <c r="F16" s="64">
        <f>5.523-5.523</f>
        <v>0</v>
      </c>
      <c r="G16" s="64">
        <f>0+3+3.3-3-3.3</f>
        <v>0</v>
      </c>
      <c r="H16" s="64">
        <f>0+5.5</f>
        <v>5.5</v>
      </c>
      <c r="I16" s="64">
        <v>3.1139999999999999</v>
      </c>
      <c r="J16" s="65">
        <v>54010010009</v>
      </c>
      <c r="K16" s="68" t="s">
        <v>2180</v>
      </c>
      <c r="L16" s="68" t="s">
        <v>2181</v>
      </c>
      <c r="M16" s="22" t="s">
        <v>144</v>
      </c>
      <c r="N16" s="85" t="s">
        <v>373</v>
      </c>
      <c r="O16" s="73" t="s">
        <v>381</v>
      </c>
      <c r="P16" s="22" t="s">
        <v>997</v>
      </c>
      <c r="Q16" s="22" t="s">
        <v>373</v>
      </c>
      <c r="R16" s="22">
        <v>11</v>
      </c>
      <c r="S16" s="21">
        <v>45</v>
      </c>
      <c r="T16" s="22">
        <v>17</v>
      </c>
      <c r="U16" s="21">
        <v>1</v>
      </c>
      <c r="V16" s="21">
        <v>1</v>
      </c>
      <c r="W16" s="21">
        <v>1</v>
      </c>
      <c r="X16" s="21">
        <v>0</v>
      </c>
      <c r="Y16" s="94">
        <v>0</v>
      </c>
      <c r="Z16" s="116">
        <v>1</v>
      </c>
      <c r="AA16" s="87">
        <v>80000000</v>
      </c>
      <c r="AB16" s="29">
        <v>0</v>
      </c>
      <c r="AC16" s="130">
        <v>0</v>
      </c>
      <c r="AD16" s="29">
        <v>75360000</v>
      </c>
      <c r="AE16" s="87">
        <f t="shared" si="0"/>
        <v>155360000</v>
      </c>
      <c r="AF16" s="30" t="s">
        <v>363</v>
      </c>
    </row>
    <row r="17" spans="1:32" ht="124.2" x14ac:dyDescent="0.3">
      <c r="A17" s="169"/>
      <c r="B17" s="170">
        <v>0</v>
      </c>
      <c r="C17" s="171"/>
      <c r="D17" s="171">
        <v>0</v>
      </c>
      <c r="E17" s="64">
        <v>0</v>
      </c>
      <c r="F17" s="64">
        <v>4.7149999999999999</v>
      </c>
      <c r="G17" s="64">
        <f>6.596+3.5-3.5</f>
        <v>6.5960000000000001</v>
      </c>
      <c r="H17" s="64">
        <f>13.907-2-6-5.907</f>
        <v>0</v>
      </c>
      <c r="I17" s="64">
        <v>6.3049999999999997</v>
      </c>
      <c r="J17" s="65">
        <v>54010010010</v>
      </c>
      <c r="K17" s="68" t="s">
        <v>2182</v>
      </c>
      <c r="L17" s="68" t="s">
        <v>2183</v>
      </c>
      <c r="M17" s="22" t="s">
        <v>107</v>
      </c>
      <c r="N17" s="85" t="s">
        <v>374</v>
      </c>
      <c r="O17" s="73" t="s">
        <v>998</v>
      </c>
      <c r="P17" s="22" t="s">
        <v>999</v>
      </c>
      <c r="Q17" s="22" t="s">
        <v>373</v>
      </c>
      <c r="R17" s="22">
        <v>11</v>
      </c>
      <c r="S17" s="21">
        <v>45</v>
      </c>
      <c r="T17" s="22">
        <v>17</v>
      </c>
      <c r="U17" s="21">
        <v>0</v>
      </c>
      <c r="V17" s="21">
        <v>100</v>
      </c>
      <c r="W17" s="21">
        <v>0</v>
      </c>
      <c r="X17" s="21">
        <v>40</v>
      </c>
      <c r="Y17" s="94">
        <v>80</v>
      </c>
      <c r="Z17" s="116">
        <v>0</v>
      </c>
      <c r="AA17" s="87">
        <v>0</v>
      </c>
      <c r="AB17" s="29">
        <v>67209002</v>
      </c>
      <c r="AC17" s="130">
        <v>650000000</v>
      </c>
      <c r="AD17" s="131">
        <v>0</v>
      </c>
      <c r="AE17" s="87">
        <f t="shared" si="0"/>
        <v>717209002</v>
      </c>
      <c r="AF17" s="30" t="s">
        <v>356</v>
      </c>
    </row>
    <row r="18" spans="1:32" ht="41.4" x14ac:dyDescent="0.3">
      <c r="A18" s="169"/>
      <c r="B18" s="170">
        <v>0</v>
      </c>
      <c r="C18" s="171"/>
      <c r="D18" s="171">
        <v>0</v>
      </c>
      <c r="E18" s="64">
        <v>0</v>
      </c>
      <c r="F18" s="64">
        <v>0</v>
      </c>
      <c r="G18" s="64">
        <f>12.009-3-9.009+6.011+3.3</f>
        <v>9.3109999999999999</v>
      </c>
      <c r="H18" s="64">
        <f>0+6+3+4+2.5</f>
        <v>15.5</v>
      </c>
      <c r="I18" s="64">
        <v>3.7519999999999998</v>
      </c>
      <c r="J18" s="65">
        <v>54010010011</v>
      </c>
      <c r="K18" s="68" t="s">
        <v>2184</v>
      </c>
      <c r="L18" s="68" t="s">
        <v>2185</v>
      </c>
      <c r="M18" s="22" t="s">
        <v>107</v>
      </c>
      <c r="N18" s="85" t="s">
        <v>373</v>
      </c>
      <c r="O18" s="73" t="s">
        <v>381</v>
      </c>
      <c r="P18" s="22" t="s">
        <v>1000</v>
      </c>
      <c r="Q18" s="22" t="s">
        <v>373</v>
      </c>
      <c r="R18" s="22">
        <v>11</v>
      </c>
      <c r="S18" s="21">
        <v>45</v>
      </c>
      <c r="T18" s="22">
        <v>17</v>
      </c>
      <c r="U18" s="21">
        <v>0</v>
      </c>
      <c r="V18" s="21">
        <v>1</v>
      </c>
      <c r="W18" s="21">
        <v>0</v>
      </c>
      <c r="X18" s="21">
        <v>0</v>
      </c>
      <c r="Y18" s="102">
        <v>0.4</v>
      </c>
      <c r="Z18" s="121">
        <v>1</v>
      </c>
      <c r="AA18" s="87">
        <v>0</v>
      </c>
      <c r="AB18" s="29">
        <v>0</v>
      </c>
      <c r="AC18" s="130">
        <v>375000000</v>
      </c>
      <c r="AD18" s="29">
        <v>856000000</v>
      </c>
      <c r="AE18" s="87">
        <f t="shared" si="0"/>
        <v>1231000000</v>
      </c>
      <c r="AF18" s="30" t="s">
        <v>363</v>
      </c>
    </row>
    <row r="19" spans="1:32" ht="55.2" x14ac:dyDescent="0.3">
      <c r="A19" s="169"/>
      <c r="B19" s="170">
        <v>0</v>
      </c>
      <c r="C19" s="171"/>
      <c r="D19" s="171">
        <v>0</v>
      </c>
      <c r="E19" s="64">
        <v>11.308</v>
      </c>
      <c r="F19" s="64">
        <f>14.694+5-5</f>
        <v>14.694000000000003</v>
      </c>
      <c r="G19" s="64">
        <f>14.463-3.3+2</f>
        <v>13.163</v>
      </c>
      <c r="H19" s="64">
        <f>22.834-3.6-4+5.907+3</f>
        <v>24.140999999999998</v>
      </c>
      <c r="I19" s="64">
        <v>16.7</v>
      </c>
      <c r="J19" s="65">
        <v>54010010012</v>
      </c>
      <c r="K19" s="68" t="s">
        <v>2186</v>
      </c>
      <c r="L19" s="68" t="s">
        <v>2187</v>
      </c>
      <c r="M19" s="22" t="s">
        <v>107</v>
      </c>
      <c r="N19" s="85" t="s">
        <v>373</v>
      </c>
      <c r="O19" s="73" t="s">
        <v>381</v>
      </c>
      <c r="P19" s="22" t="s">
        <v>1001</v>
      </c>
      <c r="Q19" s="22" t="s">
        <v>373</v>
      </c>
      <c r="R19" s="22">
        <v>11</v>
      </c>
      <c r="S19" s="21">
        <v>45</v>
      </c>
      <c r="T19" s="22">
        <v>16</v>
      </c>
      <c r="U19" s="21">
        <v>0</v>
      </c>
      <c r="V19" s="21">
        <v>25</v>
      </c>
      <c r="W19" s="21">
        <v>3</v>
      </c>
      <c r="X19" s="21">
        <v>8</v>
      </c>
      <c r="Y19" s="94">
        <v>17</v>
      </c>
      <c r="Z19" s="116">
        <v>25</v>
      </c>
      <c r="AA19" s="87">
        <v>970544113</v>
      </c>
      <c r="AB19" s="29">
        <v>950973666</v>
      </c>
      <c r="AC19" s="130">
        <v>1301369500</v>
      </c>
      <c r="AD19" s="131">
        <v>3301184000</v>
      </c>
      <c r="AE19" s="87">
        <f t="shared" si="0"/>
        <v>6524071279</v>
      </c>
      <c r="AF19" s="30" t="s">
        <v>1141</v>
      </c>
    </row>
    <row r="20" spans="1:32" ht="38.25" customHeight="1" x14ac:dyDescent="0.3">
      <c r="A20" s="169"/>
      <c r="B20" s="170">
        <v>0</v>
      </c>
      <c r="C20" s="171" t="s">
        <v>2188</v>
      </c>
      <c r="D20" s="171">
        <v>43.962000000000003</v>
      </c>
      <c r="E20" s="64">
        <v>100</v>
      </c>
      <c r="F20" s="64">
        <f>43.226+56.774</f>
        <v>100</v>
      </c>
      <c r="G20" s="64">
        <f>36.007-15+15</f>
        <v>36.006999999999998</v>
      </c>
      <c r="H20" s="64">
        <f>40.063-18-3</f>
        <v>19.063000000000002</v>
      </c>
      <c r="I20" s="64">
        <v>49.836000000000006</v>
      </c>
      <c r="J20" s="65">
        <v>54010020001</v>
      </c>
      <c r="K20" s="68" t="s">
        <v>2189</v>
      </c>
      <c r="L20" s="68" t="s">
        <v>2190</v>
      </c>
      <c r="M20" s="22" t="s">
        <v>144</v>
      </c>
      <c r="N20" s="85" t="s">
        <v>373</v>
      </c>
      <c r="O20" s="73" t="s">
        <v>381</v>
      </c>
      <c r="P20" s="22" t="s">
        <v>1002</v>
      </c>
      <c r="Q20" s="22" t="s">
        <v>373</v>
      </c>
      <c r="R20" s="22">
        <v>17</v>
      </c>
      <c r="S20" s="21">
        <v>45</v>
      </c>
      <c r="T20" s="22">
        <v>17</v>
      </c>
      <c r="U20" s="21">
        <v>0</v>
      </c>
      <c r="V20" s="21">
        <v>1</v>
      </c>
      <c r="W20" s="48">
        <v>1</v>
      </c>
      <c r="X20" s="48">
        <v>1</v>
      </c>
      <c r="Y20" s="102">
        <v>1</v>
      </c>
      <c r="Z20" s="116">
        <v>1</v>
      </c>
      <c r="AA20" s="87">
        <v>171778158</v>
      </c>
      <c r="AB20" s="29">
        <v>273000000</v>
      </c>
      <c r="AC20" s="130">
        <v>350000000</v>
      </c>
      <c r="AD20" s="131">
        <v>342412000</v>
      </c>
      <c r="AE20" s="87">
        <f t="shared" si="0"/>
        <v>1137190158</v>
      </c>
      <c r="AF20" s="30" t="s">
        <v>1145</v>
      </c>
    </row>
    <row r="21" spans="1:32" ht="69" x14ac:dyDescent="0.3">
      <c r="A21" s="169"/>
      <c r="B21" s="170">
        <v>0</v>
      </c>
      <c r="C21" s="171"/>
      <c r="D21" s="171">
        <v>0</v>
      </c>
      <c r="E21" s="64">
        <v>0</v>
      </c>
      <c r="F21" s="64">
        <v>0</v>
      </c>
      <c r="G21" s="64">
        <f>31.54-15+15</f>
        <v>31.54</v>
      </c>
      <c r="H21" s="64">
        <f>29.541-5.5-8</f>
        <v>16.041</v>
      </c>
      <c r="I21" s="64">
        <v>20.258000000000003</v>
      </c>
      <c r="J21" s="65">
        <v>54010020002</v>
      </c>
      <c r="K21" s="68" t="s">
        <v>2191</v>
      </c>
      <c r="L21" s="68" t="s">
        <v>2192</v>
      </c>
      <c r="M21" s="22" t="s">
        <v>107</v>
      </c>
      <c r="N21" s="85" t="s">
        <v>373</v>
      </c>
      <c r="O21" s="73" t="s">
        <v>381</v>
      </c>
      <c r="P21" s="22" t="s">
        <v>1003</v>
      </c>
      <c r="Q21" s="22" t="s">
        <v>373</v>
      </c>
      <c r="R21" s="22">
        <v>17</v>
      </c>
      <c r="S21" s="21">
        <v>45</v>
      </c>
      <c r="T21" s="22">
        <v>17</v>
      </c>
      <c r="U21" s="21">
        <v>0</v>
      </c>
      <c r="V21" s="21">
        <v>10</v>
      </c>
      <c r="W21" s="21">
        <v>0</v>
      </c>
      <c r="X21" s="21">
        <v>0</v>
      </c>
      <c r="Y21" s="94">
        <v>5</v>
      </c>
      <c r="Z21" s="116">
        <v>10</v>
      </c>
      <c r="AA21" s="87">
        <v>0</v>
      </c>
      <c r="AB21" s="29">
        <v>0</v>
      </c>
      <c r="AC21" s="130">
        <v>250000000</v>
      </c>
      <c r="AD21" s="131">
        <v>234971000</v>
      </c>
      <c r="AE21" s="87">
        <f t="shared" si="0"/>
        <v>484971000</v>
      </c>
      <c r="AF21" s="30" t="s">
        <v>1145</v>
      </c>
    </row>
    <row r="22" spans="1:32" ht="55.2" x14ac:dyDescent="0.3">
      <c r="A22" s="169"/>
      <c r="B22" s="170">
        <v>0</v>
      </c>
      <c r="C22" s="171"/>
      <c r="D22" s="171">
        <v>0</v>
      </c>
      <c r="E22" s="64">
        <v>0</v>
      </c>
      <c r="F22" s="64">
        <v>0</v>
      </c>
      <c r="G22" s="64">
        <f>32.453-15.3+15.3</f>
        <v>32.453000000000003</v>
      </c>
      <c r="H22" s="64">
        <f>30.396-3-6</f>
        <v>21.396000000000001</v>
      </c>
      <c r="I22" s="64">
        <v>20.779</v>
      </c>
      <c r="J22" s="65">
        <v>54010020003</v>
      </c>
      <c r="K22" s="68" t="s">
        <v>2193</v>
      </c>
      <c r="L22" s="68" t="s">
        <v>2194</v>
      </c>
      <c r="M22" s="22" t="s">
        <v>107</v>
      </c>
      <c r="N22" s="85" t="s">
        <v>373</v>
      </c>
      <c r="O22" s="73" t="s">
        <v>381</v>
      </c>
      <c r="P22" s="22" t="s">
        <v>1004</v>
      </c>
      <c r="Q22" s="22" t="s">
        <v>373</v>
      </c>
      <c r="R22" s="22">
        <v>17</v>
      </c>
      <c r="S22" s="21">
        <v>45</v>
      </c>
      <c r="T22" s="22">
        <v>17</v>
      </c>
      <c r="U22" s="21">
        <v>0</v>
      </c>
      <c r="V22" s="21">
        <v>3</v>
      </c>
      <c r="W22" s="21">
        <v>0</v>
      </c>
      <c r="X22" s="21">
        <v>0</v>
      </c>
      <c r="Y22" s="94">
        <v>1</v>
      </c>
      <c r="Z22" s="116">
        <v>3</v>
      </c>
      <c r="AA22" s="87">
        <v>0</v>
      </c>
      <c r="AB22" s="29">
        <v>0</v>
      </c>
      <c r="AC22" s="130">
        <v>300000000</v>
      </c>
      <c r="AD22" s="131">
        <v>344226000</v>
      </c>
      <c r="AE22" s="87">
        <f t="shared" si="0"/>
        <v>644226000</v>
      </c>
      <c r="AF22" s="30" t="s">
        <v>1145</v>
      </c>
    </row>
    <row r="23" spans="1:32" ht="69" x14ac:dyDescent="0.3">
      <c r="A23" s="169"/>
      <c r="B23" s="170">
        <v>0</v>
      </c>
      <c r="C23" s="171"/>
      <c r="D23" s="171">
        <v>0</v>
      </c>
      <c r="E23" s="64">
        <v>0</v>
      </c>
      <c r="F23" s="64">
        <f>56.774-56.774</f>
        <v>0</v>
      </c>
      <c r="G23" s="64">
        <f>0+15+15+15.3-15-15-15.3</f>
        <v>0</v>
      </c>
      <c r="H23" s="64">
        <f>0+18+5.5+3+8+3+6</f>
        <v>43.5</v>
      </c>
      <c r="I23" s="64">
        <v>9.1270000000000007</v>
      </c>
      <c r="J23" s="65">
        <v>54010020004</v>
      </c>
      <c r="K23" s="68" t="s">
        <v>2195</v>
      </c>
      <c r="L23" s="68" t="s">
        <v>2196</v>
      </c>
      <c r="M23" s="22" t="s">
        <v>107</v>
      </c>
      <c r="N23" s="85" t="s">
        <v>373</v>
      </c>
      <c r="O23" s="73" t="s">
        <v>381</v>
      </c>
      <c r="P23" s="22" t="s">
        <v>1005</v>
      </c>
      <c r="Q23" s="22" t="s">
        <v>373</v>
      </c>
      <c r="R23" s="22">
        <v>17</v>
      </c>
      <c r="S23" s="21">
        <v>45</v>
      </c>
      <c r="T23" s="22">
        <v>13</v>
      </c>
      <c r="U23" s="21">
        <v>0</v>
      </c>
      <c r="V23" s="21">
        <v>1</v>
      </c>
      <c r="W23" s="21">
        <v>0</v>
      </c>
      <c r="X23" s="21">
        <v>0</v>
      </c>
      <c r="Y23" s="94">
        <v>0</v>
      </c>
      <c r="Z23" s="116">
        <v>1</v>
      </c>
      <c r="AA23" s="87">
        <v>0</v>
      </c>
      <c r="AB23" s="29">
        <v>0</v>
      </c>
      <c r="AC23" s="130">
        <v>0</v>
      </c>
      <c r="AD23" s="29">
        <v>1738000000</v>
      </c>
      <c r="AE23" s="87">
        <f t="shared" si="0"/>
        <v>1738000000</v>
      </c>
      <c r="AF23" s="30" t="s">
        <v>363</v>
      </c>
    </row>
    <row r="24" spans="1:32" x14ac:dyDescent="0.3">
      <c r="A24" s="67"/>
      <c r="B24" s="37"/>
      <c r="C24" s="66"/>
      <c r="D24" s="66"/>
      <c r="E24" s="66"/>
      <c r="F24" s="66"/>
      <c r="G24" s="66"/>
      <c r="H24" s="66"/>
      <c r="I24" s="66"/>
      <c r="J24" s="67"/>
      <c r="K24" s="69"/>
      <c r="L24" s="69"/>
      <c r="M24" s="41"/>
      <c r="N24" s="41"/>
      <c r="O24" s="24"/>
      <c r="P24" s="41"/>
      <c r="Q24" s="41"/>
      <c r="R24" s="41"/>
      <c r="S24" s="52"/>
      <c r="T24" s="41"/>
      <c r="U24" s="52"/>
      <c r="V24" s="52"/>
      <c r="W24" s="52"/>
      <c r="X24" s="52"/>
      <c r="Y24" s="52"/>
      <c r="Z24" s="55"/>
      <c r="AA24" s="53"/>
      <c r="AB24" s="53"/>
      <c r="AC24" s="53"/>
      <c r="AD24" s="54"/>
      <c r="AE24" s="53"/>
      <c r="AF24" s="40"/>
    </row>
    <row r="25" spans="1:32" ht="69" x14ac:dyDescent="0.3">
      <c r="A25" s="169" t="s">
        <v>2197</v>
      </c>
      <c r="B25" s="170">
        <v>43.742999999999995</v>
      </c>
      <c r="C25" s="171" t="s">
        <v>2198</v>
      </c>
      <c r="D25" s="171">
        <v>37.363</v>
      </c>
      <c r="E25" s="64">
        <v>1.627</v>
      </c>
      <c r="F25" s="64">
        <v>1.91</v>
      </c>
      <c r="G25" s="64">
        <v>1.8900000000000001</v>
      </c>
      <c r="H25" s="64">
        <v>1.6760000000000002</v>
      </c>
      <c r="I25" s="64">
        <v>1.7749999999999999</v>
      </c>
      <c r="J25" s="65">
        <v>54020010001</v>
      </c>
      <c r="K25" s="68" t="s">
        <v>2199</v>
      </c>
      <c r="L25" s="68" t="s">
        <v>2200</v>
      </c>
      <c r="M25" s="22" t="s">
        <v>144</v>
      </c>
      <c r="N25" s="85" t="s">
        <v>373</v>
      </c>
      <c r="O25" s="73" t="s">
        <v>381</v>
      </c>
      <c r="P25" s="22" t="s">
        <v>1006</v>
      </c>
      <c r="Q25" s="22" t="s">
        <v>373</v>
      </c>
      <c r="R25" s="22">
        <v>17</v>
      </c>
      <c r="S25" s="21">
        <v>45</v>
      </c>
      <c r="T25" s="22">
        <v>17</v>
      </c>
      <c r="U25" s="21">
        <v>0</v>
      </c>
      <c r="V25" s="21">
        <v>1</v>
      </c>
      <c r="W25" s="48">
        <v>1</v>
      </c>
      <c r="X25" s="21">
        <v>1</v>
      </c>
      <c r="Y25" s="94">
        <v>0.8</v>
      </c>
      <c r="Z25" s="116">
        <v>1</v>
      </c>
      <c r="AA25" s="87">
        <v>192046977</v>
      </c>
      <c r="AB25" s="29">
        <v>816843059</v>
      </c>
      <c r="AC25" s="130">
        <v>500000000</v>
      </c>
      <c r="AD25" s="131">
        <v>300000000</v>
      </c>
      <c r="AE25" s="87">
        <f t="shared" si="0"/>
        <v>1808890036</v>
      </c>
      <c r="AF25" s="30" t="s">
        <v>1145</v>
      </c>
    </row>
    <row r="26" spans="1:32" ht="41.4" x14ac:dyDescent="0.3">
      <c r="A26" s="169"/>
      <c r="B26" s="170">
        <v>0</v>
      </c>
      <c r="C26" s="171"/>
      <c r="D26" s="171">
        <v>0</v>
      </c>
      <c r="E26" s="64">
        <v>0</v>
      </c>
      <c r="F26" s="64">
        <v>0</v>
      </c>
      <c r="G26" s="64">
        <v>1.5559999999999998</v>
      </c>
      <c r="H26" s="64">
        <v>1.3129999999999999</v>
      </c>
      <c r="I26" s="64">
        <v>1.143</v>
      </c>
      <c r="J26" s="65">
        <v>54020010002</v>
      </c>
      <c r="K26" s="68" t="s">
        <v>2201</v>
      </c>
      <c r="L26" s="68" t="s">
        <v>2202</v>
      </c>
      <c r="M26" s="22" t="s">
        <v>107</v>
      </c>
      <c r="N26" s="85" t="s">
        <v>373</v>
      </c>
      <c r="O26" s="73" t="s">
        <v>381</v>
      </c>
      <c r="P26" s="22" t="s">
        <v>1007</v>
      </c>
      <c r="Q26" s="22" t="s">
        <v>373</v>
      </c>
      <c r="R26" s="22">
        <v>17</v>
      </c>
      <c r="S26" s="21">
        <v>45</v>
      </c>
      <c r="T26" s="22">
        <v>17</v>
      </c>
      <c r="U26" s="21">
        <v>0</v>
      </c>
      <c r="V26" s="21">
        <v>5</v>
      </c>
      <c r="W26" s="21">
        <v>0</v>
      </c>
      <c r="X26" s="21">
        <v>0</v>
      </c>
      <c r="Y26" s="94">
        <v>2</v>
      </c>
      <c r="Z26" s="116">
        <v>5</v>
      </c>
      <c r="AA26" s="87">
        <v>0</v>
      </c>
      <c r="AB26" s="29">
        <v>0</v>
      </c>
      <c r="AC26" s="130">
        <v>500000000</v>
      </c>
      <c r="AD26" s="131">
        <v>200000000</v>
      </c>
      <c r="AE26" s="87">
        <f t="shared" si="0"/>
        <v>700000000</v>
      </c>
      <c r="AF26" s="30" t="s">
        <v>1145</v>
      </c>
    </row>
    <row r="27" spans="1:32" ht="55.2" x14ac:dyDescent="0.3">
      <c r="A27" s="169"/>
      <c r="B27" s="170">
        <v>0</v>
      </c>
      <c r="C27" s="171"/>
      <c r="D27" s="171">
        <v>0</v>
      </c>
      <c r="E27" s="64">
        <v>0</v>
      </c>
      <c r="F27" s="64">
        <v>0</v>
      </c>
      <c r="G27" s="64">
        <v>1.34</v>
      </c>
      <c r="H27" s="64">
        <f>1.149+0.4</f>
        <v>1.5489999999999999</v>
      </c>
      <c r="I27" s="64">
        <v>0.93600000000000005</v>
      </c>
      <c r="J27" s="65">
        <v>54020010003</v>
      </c>
      <c r="K27" s="68" t="s">
        <v>2203</v>
      </c>
      <c r="L27" s="68" t="s">
        <v>2204</v>
      </c>
      <c r="M27" s="22" t="s">
        <v>107</v>
      </c>
      <c r="N27" s="85" t="s">
        <v>373</v>
      </c>
      <c r="O27" s="73" t="s">
        <v>381</v>
      </c>
      <c r="P27" s="22" t="s">
        <v>1008</v>
      </c>
      <c r="Q27" s="22" t="s">
        <v>373</v>
      </c>
      <c r="R27" s="22">
        <v>17</v>
      </c>
      <c r="S27" s="21">
        <v>45</v>
      </c>
      <c r="T27" s="22">
        <v>17</v>
      </c>
      <c r="U27" s="21">
        <v>0</v>
      </c>
      <c r="V27" s="21">
        <v>5</v>
      </c>
      <c r="W27" s="21">
        <v>0</v>
      </c>
      <c r="X27" s="21">
        <v>0</v>
      </c>
      <c r="Y27" s="94">
        <v>2</v>
      </c>
      <c r="Z27" s="116">
        <v>5</v>
      </c>
      <c r="AA27" s="87">
        <v>0</v>
      </c>
      <c r="AB27" s="29">
        <v>0</v>
      </c>
      <c r="AC27" s="130">
        <v>300000000</v>
      </c>
      <c r="AD27" s="131">
        <v>300000000</v>
      </c>
      <c r="AE27" s="87">
        <f t="shared" si="0"/>
        <v>600000000</v>
      </c>
      <c r="AF27" s="30" t="s">
        <v>1145</v>
      </c>
    </row>
    <row r="28" spans="1:32" ht="124.2" x14ac:dyDescent="0.3">
      <c r="A28" s="169"/>
      <c r="B28" s="170">
        <v>0</v>
      </c>
      <c r="C28" s="171"/>
      <c r="D28" s="171">
        <v>0</v>
      </c>
      <c r="E28" s="64">
        <v>1.8089999999999999</v>
      </c>
      <c r="F28" s="64">
        <v>2.2999999999999998</v>
      </c>
      <c r="G28" s="64">
        <v>2.097</v>
      </c>
      <c r="H28" s="64">
        <f>1.984-0.4</f>
        <v>1.5840000000000001</v>
      </c>
      <c r="I28" s="64">
        <v>1.7350000000000001</v>
      </c>
      <c r="J28" s="65">
        <v>54020010004</v>
      </c>
      <c r="K28" s="68" t="s">
        <v>2205</v>
      </c>
      <c r="L28" s="68" t="s">
        <v>2206</v>
      </c>
      <c r="M28" s="22" t="s">
        <v>144</v>
      </c>
      <c r="N28" s="85" t="s">
        <v>373</v>
      </c>
      <c r="O28" s="73" t="s">
        <v>486</v>
      </c>
      <c r="P28" s="22" t="s">
        <v>1009</v>
      </c>
      <c r="Q28" s="22" t="s">
        <v>373</v>
      </c>
      <c r="R28" s="22">
        <v>17</v>
      </c>
      <c r="S28" s="21">
        <v>45</v>
      </c>
      <c r="T28" s="22">
        <v>17</v>
      </c>
      <c r="U28" s="21">
        <v>4</v>
      </c>
      <c r="V28" s="21">
        <v>4</v>
      </c>
      <c r="W28" s="21">
        <v>4</v>
      </c>
      <c r="X28" s="21">
        <v>4</v>
      </c>
      <c r="Y28" s="94">
        <v>4</v>
      </c>
      <c r="Z28" s="116">
        <v>4</v>
      </c>
      <c r="AA28" s="87">
        <v>248226185</v>
      </c>
      <c r="AB28" s="29">
        <v>668053503</v>
      </c>
      <c r="AC28" s="130">
        <v>402612000</v>
      </c>
      <c r="AD28" s="131">
        <v>83550600</v>
      </c>
      <c r="AE28" s="87">
        <f t="shared" si="0"/>
        <v>1402442288</v>
      </c>
      <c r="AF28" s="30" t="s">
        <v>361</v>
      </c>
    </row>
    <row r="29" spans="1:32" ht="124.2" x14ac:dyDescent="0.3">
      <c r="A29" s="169"/>
      <c r="B29" s="170">
        <v>0</v>
      </c>
      <c r="C29" s="171"/>
      <c r="D29" s="171">
        <v>0</v>
      </c>
      <c r="E29" s="64">
        <v>10.314</v>
      </c>
      <c r="F29" s="64">
        <v>3.0589999999999997</v>
      </c>
      <c r="G29" s="64">
        <v>3.1870000000000003</v>
      </c>
      <c r="H29" s="64">
        <f>3.56+1</f>
        <v>4.5600000000000005</v>
      </c>
      <c r="I29" s="64">
        <v>5.0299999999999994</v>
      </c>
      <c r="J29" s="65">
        <v>54020010005</v>
      </c>
      <c r="K29" s="68" t="s">
        <v>2207</v>
      </c>
      <c r="L29" s="68" t="s">
        <v>2208</v>
      </c>
      <c r="M29" s="22" t="s">
        <v>144</v>
      </c>
      <c r="N29" s="85" t="s">
        <v>374</v>
      </c>
      <c r="O29" s="73" t="s">
        <v>507</v>
      </c>
      <c r="P29" s="22" t="s">
        <v>1010</v>
      </c>
      <c r="Q29" s="22" t="s">
        <v>373</v>
      </c>
      <c r="R29" s="22">
        <v>17</v>
      </c>
      <c r="S29" s="21">
        <v>43</v>
      </c>
      <c r="T29" s="22">
        <v>4</v>
      </c>
      <c r="U29" s="21">
        <v>100</v>
      </c>
      <c r="V29" s="21">
        <v>100</v>
      </c>
      <c r="W29" s="21">
        <v>100</v>
      </c>
      <c r="X29" s="21">
        <v>100</v>
      </c>
      <c r="Y29" s="94">
        <v>100</v>
      </c>
      <c r="Z29" s="116">
        <v>100</v>
      </c>
      <c r="AA29" s="87">
        <v>7455651901</v>
      </c>
      <c r="AB29" s="29">
        <v>2788000000</v>
      </c>
      <c r="AC29" s="130">
        <v>2724520000</v>
      </c>
      <c r="AD29" s="131">
        <v>2847869400</v>
      </c>
      <c r="AE29" s="87">
        <f t="shared" si="0"/>
        <v>15816041301</v>
      </c>
      <c r="AF29" s="30" t="s">
        <v>369</v>
      </c>
    </row>
    <row r="30" spans="1:32" ht="55.2" x14ac:dyDescent="0.3">
      <c r="A30" s="169"/>
      <c r="B30" s="170">
        <v>0</v>
      </c>
      <c r="C30" s="171"/>
      <c r="D30" s="171">
        <v>0</v>
      </c>
      <c r="E30" s="64">
        <v>6.18</v>
      </c>
      <c r="F30" s="64">
        <v>4.5620000000000003</v>
      </c>
      <c r="G30" s="64">
        <v>3.06</v>
      </c>
      <c r="H30" s="64">
        <f>3.46+1+0.9-0.8</f>
        <v>4.5600000000000005</v>
      </c>
      <c r="I30" s="64">
        <v>4.3150000000000004</v>
      </c>
      <c r="J30" s="65">
        <v>54020010006</v>
      </c>
      <c r="K30" s="68" t="s">
        <v>2209</v>
      </c>
      <c r="L30" s="68" t="s">
        <v>2210</v>
      </c>
      <c r="M30" s="22" t="s">
        <v>803</v>
      </c>
      <c r="N30" s="85" t="s">
        <v>373</v>
      </c>
      <c r="O30" s="73" t="s">
        <v>381</v>
      </c>
      <c r="P30" s="22" t="s">
        <v>1011</v>
      </c>
      <c r="Q30" s="22" t="s">
        <v>373</v>
      </c>
      <c r="R30" s="22">
        <v>17</v>
      </c>
      <c r="S30" s="21">
        <v>33</v>
      </c>
      <c r="T30" s="22">
        <v>5</v>
      </c>
      <c r="U30" s="21">
        <v>0</v>
      </c>
      <c r="V30" s="21">
        <v>1</v>
      </c>
      <c r="W30" s="21">
        <v>1</v>
      </c>
      <c r="X30" s="21">
        <v>1</v>
      </c>
      <c r="Y30" s="94">
        <v>1</v>
      </c>
      <c r="Z30" s="116">
        <v>1</v>
      </c>
      <c r="AA30" s="87">
        <v>3428209961</v>
      </c>
      <c r="AB30" s="29">
        <v>4888314222</v>
      </c>
      <c r="AC30" s="130">
        <v>6435851347</v>
      </c>
      <c r="AD30" s="131">
        <v>4822082164</v>
      </c>
      <c r="AE30" s="87">
        <f t="shared" si="0"/>
        <v>19574457694</v>
      </c>
      <c r="AF30" s="30" t="s">
        <v>355</v>
      </c>
    </row>
    <row r="31" spans="1:32" ht="82.8" x14ac:dyDescent="0.3">
      <c r="A31" s="169"/>
      <c r="B31" s="170">
        <v>0</v>
      </c>
      <c r="C31" s="171"/>
      <c r="D31" s="171">
        <v>0</v>
      </c>
      <c r="E31" s="64">
        <v>3.2610000000000001</v>
      </c>
      <c r="F31" s="64">
        <f>1.667+1.175+1.133</f>
        <v>3.9750000000000001</v>
      </c>
      <c r="G31" s="64">
        <f>1.659+1.285+1.1+1.1</f>
        <v>5.1440000000000001</v>
      </c>
      <c r="H31" s="64">
        <f>1.416+1.133+1.129+1+0.9</f>
        <v>5.5780000000000003</v>
      </c>
      <c r="I31" s="64">
        <v>2.0009999999999999</v>
      </c>
      <c r="J31" s="65">
        <v>54020010007</v>
      </c>
      <c r="K31" s="68" t="s">
        <v>2211</v>
      </c>
      <c r="L31" s="68" t="s">
        <v>2212</v>
      </c>
      <c r="M31" s="22" t="s">
        <v>107</v>
      </c>
      <c r="N31" s="85" t="s">
        <v>374</v>
      </c>
      <c r="O31" s="73" t="s">
        <v>1012</v>
      </c>
      <c r="P31" s="22" t="s">
        <v>1013</v>
      </c>
      <c r="Q31" s="22" t="s">
        <v>374</v>
      </c>
      <c r="R31" s="22">
        <v>16</v>
      </c>
      <c r="S31" s="21">
        <v>45</v>
      </c>
      <c r="T31" s="22">
        <v>18</v>
      </c>
      <c r="U31" s="21">
        <v>33.299999999999997</v>
      </c>
      <c r="V31" s="21">
        <v>80</v>
      </c>
      <c r="W31" s="21">
        <v>44</v>
      </c>
      <c r="X31" s="21">
        <v>56</v>
      </c>
      <c r="Y31" s="94">
        <v>68</v>
      </c>
      <c r="Z31" s="116">
        <v>80</v>
      </c>
      <c r="AA31" s="87">
        <v>12797162038</v>
      </c>
      <c r="AB31" s="29">
        <v>3051468730</v>
      </c>
      <c r="AC31" s="130">
        <v>8370080469</v>
      </c>
      <c r="AD31" s="131">
        <v>5077111192</v>
      </c>
      <c r="AE31" s="87">
        <f t="shared" si="0"/>
        <v>29295822429</v>
      </c>
      <c r="AF31" s="30" t="s">
        <v>372</v>
      </c>
    </row>
    <row r="32" spans="1:32" ht="124.2" x14ac:dyDescent="0.3">
      <c r="A32" s="169"/>
      <c r="B32" s="170">
        <v>0</v>
      </c>
      <c r="C32" s="171"/>
      <c r="D32" s="171">
        <v>0</v>
      </c>
      <c r="E32" s="64">
        <v>5.4039999999999999</v>
      </c>
      <c r="F32" s="64">
        <f>4.586-1.5</f>
        <v>3.0860000000000003</v>
      </c>
      <c r="G32" s="64">
        <v>4.0329999999999995</v>
      </c>
      <c r="H32" s="64">
        <f>3.305+1</f>
        <v>4.3049999999999997</v>
      </c>
      <c r="I32" s="64">
        <v>4.157</v>
      </c>
      <c r="J32" s="65">
        <v>54020010008</v>
      </c>
      <c r="K32" s="68" t="s">
        <v>2213</v>
      </c>
      <c r="L32" s="68" t="s">
        <v>2214</v>
      </c>
      <c r="M32" s="22" t="s">
        <v>107</v>
      </c>
      <c r="N32" s="85" t="s">
        <v>374</v>
      </c>
      <c r="O32" s="73" t="s">
        <v>381</v>
      </c>
      <c r="P32" s="22" t="s">
        <v>1014</v>
      </c>
      <c r="Q32" s="22" t="s">
        <v>374</v>
      </c>
      <c r="R32" s="22">
        <v>17</v>
      </c>
      <c r="S32" s="21">
        <v>32</v>
      </c>
      <c r="T32" s="22">
        <v>17</v>
      </c>
      <c r="U32" s="21">
        <v>10</v>
      </c>
      <c r="V32" s="21">
        <v>100</v>
      </c>
      <c r="W32" s="21">
        <v>15</v>
      </c>
      <c r="X32" s="21">
        <v>30</v>
      </c>
      <c r="Y32" s="94">
        <v>70</v>
      </c>
      <c r="Z32" s="116">
        <v>100</v>
      </c>
      <c r="AA32" s="105">
        <v>3190223046</v>
      </c>
      <c r="AB32" s="49">
        <v>2600000000</v>
      </c>
      <c r="AC32" s="132">
        <v>2977000000</v>
      </c>
      <c r="AD32" s="120">
        <v>2341530000</v>
      </c>
      <c r="AE32" s="87">
        <f t="shared" si="0"/>
        <v>11108753046</v>
      </c>
      <c r="AF32" s="30" t="s">
        <v>368</v>
      </c>
    </row>
    <row r="33" spans="1:32" ht="69" x14ac:dyDescent="0.3">
      <c r="A33" s="169"/>
      <c r="B33" s="170">
        <v>0</v>
      </c>
      <c r="C33" s="171"/>
      <c r="D33" s="171">
        <v>0</v>
      </c>
      <c r="E33" s="64">
        <v>0</v>
      </c>
      <c r="F33" s="64">
        <v>1.248</v>
      </c>
      <c r="G33" s="64">
        <v>1.284</v>
      </c>
      <c r="H33" s="64">
        <f>1.133-1.133</f>
        <v>0</v>
      </c>
      <c r="I33" s="64">
        <v>0.91599999999999993</v>
      </c>
      <c r="J33" s="65">
        <v>54020010009</v>
      </c>
      <c r="K33" s="68" t="s">
        <v>2215</v>
      </c>
      <c r="L33" s="68" t="s">
        <v>2216</v>
      </c>
      <c r="M33" s="22" t="s">
        <v>107</v>
      </c>
      <c r="N33" s="85" t="s">
        <v>373</v>
      </c>
      <c r="O33" s="73" t="s">
        <v>721</v>
      </c>
      <c r="P33" s="22" t="s">
        <v>1015</v>
      </c>
      <c r="Q33" s="22" t="s">
        <v>373</v>
      </c>
      <c r="R33" s="22">
        <v>17</v>
      </c>
      <c r="S33" s="21">
        <v>45</v>
      </c>
      <c r="T33" s="22">
        <v>17</v>
      </c>
      <c r="U33" s="21">
        <v>412</v>
      </c>
      <c r="V33" s="21">
        <v>2287</v>
      </c>
      <c r="W33" s="21">
        <v>0</v>
      </c>
      <c r="X33" s="21">
        <v>1262</v>
      </c>
      <c r="Y33" s="94">
        <v>1775</v>
      </c>
      <c r="Z33" s="116">
        <v>0</v>
      </c>
      <c r="AA33" s="87">
        <v>0</v>
      </c>
      <c r="AB33" s="29">
        <v>877032945</v>
      </c>
      <c r="AC33" s="130">
        <v>200000000</v>
      </c>
      <c r="AD33" s="131">
        <v>0</v>
      </c>
      <c r="AE33" s="87">
        <f t="shared" si="0"/>
        <v>1077032945</v>
      </c>
      <c r="AF33" s="30" t="s">
        <v>361</v>
      </c>
    </row>
    <row r="34" spans="1:32" ht="69" x14ac:dyDescent="0.3">
      <c r="A34" s="169"/>
      <c r="B34" s="170">
        <v>0</v>
      </c>
      <c r="C34" s="171"/>
      <c r="D34" s="171">
        <v>0</v>
      </c>
      <c r="E34" s="64">
        <v>2.5059999999999998</v>
      </c>
      <c r="F34" s="64">
        <v>1.284</v>
      </c>
      <c r="G34" s="64">
        <v>1.2970000000000002</v>
      </c>
      <c r="H34" s="64">
        <f>1.265</f>
        <v>1.2649999999999999</v>
      </c>
      <c r="I34" s="64">
        <v>1.5879999999999999</v>
      </c>
      <c r="J34" s="65">
        <v>54020010010</v>
      </c>
      <c r="K34" s="68" t="s">
        <v>2217</v>
      </c>
      <c r="L34" s="68" t="s">
        <v>2218</v>
      </c>
      <c r="M34" s="22" t="s">
        <v>107</v>
      </c>
      <c r="N34" s="85" t="s">
        <v>373</v>
      </c>
      <c r="O34" s="73" t="s">
        <v>381</v>
      </c>
      <c r="P34" s="22" t="s">
        <v>1016</v>
      </c>
      <c r="Q34" s="22" t="s">
        <v>373</v>
      </c>
      <c r="R34" s="22">
        <v>17</v>
      </c>
      <c r="S34" s="21">
        <v>45</v>
      </c>
      <c r="T34" s="22">
        <v>17</v>
      </c>
      <c r="U34" s="21">
        <v>2041</v>
      </c>
      <c r="V34" s="21">
        <v>3641</v>
      </c>
      <c r="W34" s="21">
        <v>2441</v>
      </c>
      <c r="X34" s="21">
        <v>2841</v>
      </c>
      <c r="Y34" s="94">
        <v>3241</v>
      </c>
      <c r="Z34" s="116">
        <v>3641</v>
      </c>
      <c r="AA34" s="87">
        <v>155258400</v>
      </c>
      <c r="AB34" s="29">
        <v>156000000</v>
      </c>
      <c r="AC34" s="130">
        <v>218754057</v>
      </c>
      <c r="AD34" s="131">
        <v>300000000</v>
      </c>
      <c r="AE34" s="87">
        <f t="shared" si="0"/>
        <v>830012457</v>
      </c>
      <c r="AF34" s="30" t="s">
        <v>1146</v>
      </c>
    </row>
    <row r="35" spans="1:32" ht="69" x14ac:dyDescent="0.3">
      <c r="A35" s="169"/>
      <c r="B35" s="170">
        <v>0</v>
      </c>
      <c r="C35" s="171"/>
      <c r="D35" s="171">
        <v>0</v>
      </c>
      <c r="E35" s="64">
        <v>2.1629999999999998</v>
      </c>
      <c r="F35" s="64">
        <f>1.175-1.175+1.4</f>
        <v>1.4</v>
      </c>
      <c r="G35" s="64">
        <v>1.179</v>
      </c>
      <c r="H35" s="64">
        <f>1.159-1.159</f>
        <v>0</v>
      </c>
      <c r="I35" s="64">
        <v>1.419</v>
      </c>
      <c r="J35" s="65">
        <v>54020010011</v>
      </c>
      <c r="K35" s="68" t="s">
        <v>2219</v>
      </c>
      <c r="L35" s="68" t="s">
        <v>2220</v>
      </c>
      <c r="M35" s="22" t="s">
        <v>107</v>
      </c>
      <c r="N35" s="85" t="s">
        <v>373</v>
      </c>
      <c r="O35" s="73" t="s">
        <v>419</v>
      </c>
      <c r="P35" s="22" t="s">
        <v>1017</v>
      </c>
      <c r="Q35" s="22" t="s">
        <v>373</v>
      </c>
      <c r="R35" s="22">
        <v>17</v>
      </c>
      <c r="S35" s="21">
        <v>45</v>
      </c>
      <c r="T35" s="22">
        <v>17</v>
      </c>
      <c r="U35" s="21">
        <v>1</v>
      </c>
      <c r="V35" s="21">
        <v>1</v>
      </c>
      <c r="W35" s="33">
        <v>0.25</v>
      </c>
      <c r="X35" s="33">
        <v>0.5</v>
      </c>
      <c r="Y35" s="103">
        <v>0.75</v>
      </c>
      <c r="Z35" s="116">
        <v>0</v>
      </c>
      <c r="AA35" s="87">
        <v>50000000</v>
      </c>
      <c r="AB35" s="29">
        <v>105000000</v>
      </c>
      <c r="AC35" s="130">
        <v>51456000</v>
      </c>
      <c r="AD35" s="131">
        <v>0</v>
      </c>
      <c r="AE35" s="87">
        <f t="shared" si="0"/>
        <v>206456000</v>
      </c>
      <c r="AF35" s="30" t="s">
        <v>361</v>
      </c>
    </row>
    <row r="36" spans="1:32" ht="151.80000000000001" x14ac:dyDescent="0.3">
      <c r="A36" s="169"/>
      <c r="B36" s="170">
        <v>0</v>
      </c>
      <c r="C36" s="171"/>
      <c r="D36" s="171">
        <v>0</v>
      </c>
      <c r="E36" s="64">
        <v>2.3619999999999997</v>
      </c>
      <c r="F36" s="64">
        <f>1.133-1.133+1.5</f>
        <v>1.5</v>
      </c>
      <c r="G36" s="64">
        <v>1.133</v>
      </c>
      <c r="H36" s="64">
        <f>1.113+0.5</f>
        <v>1.613</v>
      </c>
      <c r="I36" s="64">
        <v>1.4350000000000001</v>
      </c>
      <c r="J36" s="65">
        <v>54020010012</v>
      </c>
      <c r="K36" s="68" t="s">
        <v>2221</v>
      </c>
      <c r="L36" s="68" t="s">
        <v>2222</v>
      </c>
      <c r="M36" s="22" t="s">
        <v>107</v>
      </c>
      <c r="N36" s="85" t="s">
        <v>373</v>
      </c>
      <c r="O36" s="73" t="s">
        <v>486</v>
      </c>
      <c r="P36" s="22" t="s">
        <v>1018</v>
      </c>
      <c r="Q36" s="22" t="s">
        <v>373</v>
      </c>
      <c r="R36" s="22">
        <v>17</v>
      </c>
      <c r="S36" s="21">
        <v>45</v>
      </c>
      <c r="T36" s="22">
        <v>17</v>
      </c>
      <c r="U36" s="21">
        <v>0</v>
      </c>
      <c r="V36" s="21">
        <v>4</v>
      </c>
      <c r="W36" s="33">
        <v>0.25</v>
      </c>
      <c r="X36" s="22">
        <v>1.5</v>
      </c>
      <c r="Y36" s="103">
        <v>2.75</v>
      </c>
      <c r="Z36" s="123">
        <v>4</v>
      </c>
      <c r="AA36" s="87">
        <v>111000000</v>
      </c>
      <c r="AB36" s="29">
        <v>156000000</v>
      </c>
      <c r="AC36" s="130">
        <v>486000000</v>
      </c>
      <c r="AD36" s="131">
        <v>71933400</v>
      </c>
      <c r="AE36" s="87">
        <f t="shared" si="0"/>
        <v>824933400</v>
      </c>
      <c r="AF36" s="30" t="s">
        <v>361</v>
      </c>
    </row>
    <row r="37" spans="1:32" ht="96.6" x14ac:dyDescent="0.3">
      <c r="A37" s="169"/>
      <c r="B37" s="170">
        <v>0</v>
      </c>
      <c r="C37" s="171"/>
      <c r="D37" s="171">
        <v>0</v>
      </c>
      <c r="E37" s="64">
        <v>2.2069999999999999</v>
      </c>
      <c r="F37" s="64">
        <v>1.1419999999999999</v>
      </c>
      <c r="G37" s="64">
        <v>1.1499999999999999</v>
      </c>
      <c r="H37" s="64">
        <f>1.136+0.367</f>
        <v>1.5029999999999999</v>
      </c>
      <c r="I37" s="64">
        <v>1.409</v>
      </c>
      <c r="J37" s="65">
        <v>54020010013</v>
      </c>
      <c r="K37" s="68" t="s">
        <v>2223</v>
      </c>
      <c r="L37" s="68" t="s">
        <v>2224</v>
      </c>
      <c r="M37" s="86" t="s">
        <v>107</v>
      </c>
      <c r="N37" s="85" t="s">
        <v>373</v>
      </c>
      <c r="O37" s="73" t="s">
        <v>483</v>
      </c>
      <c r="P37" s="22" t="s">
        <v>1019</v>
      </c>
      <c r="Q37" s="22" t="s">
        <v>373</v>
      </c>
      <c r="R37" s="22">
        <v>17</v>
      </c>
      <c r="S37" s="21">
        <v>45</v>
      </c>
      <c r="T37" s="22">
        <v>17</v>
      </c>
      <c r="U37" s="21">
        <v>5876</v>
      </c>
      <c r="V37" s="21">
        <v>10666</v>
      </c>
      <c r="W37" s="21">
        <v>7036</v>
      </c>
      <c r="X37" s="21">
        <v>8246</v>
      </c>
      <c r="Y37" s="94">
        <v>9458</v>
      </c>
      <c r="Z37" s="116">
        <v>10666</v>
      </c>
      <c r="AA37" s="87">
        <v>63622932</v>
      </c>
      <c r="AB37" s="29">
        <v>53190350</v>
      </c>
      <c r="AC37" s="130">
        <v>97902200</v>
      </c>
      <c r="AD37" s="131">
        <v>109845480</v>
      </c>
      <c r="AE37" s="87">
        <f t="shared" ref="AE37:AE100" si="1">SUM(AA37:AD37)</f>
        <v>324560962</v>
      </c>
      <c r="AF37" s="30" t="s">
        <v>1147</v>
      </c>
    </row>
    <row r="38" spans="1:32" ht="69" x14ac:dyDescent="0.3">
      <c r="A38" s="169"/>
      <c r="B38" s="170">
        <v>0</v>
      </c>
      <c r="C38" s="171"/>
      <c r="D38" s="171">
        <v>0</v>
      </c>
      <c r="E38" s="64">
        <v>1.6310000000000002</v>
      </c>
      <c r="F38" s="64">
        <v>2.2089999999999996</v>
      </c>
      <c r="G38" s="64">
        <v>2.33</v>
      </c>
      <c r="H38" s="64">
        <v>1.8429999999999997</v>
      </c>
      <c r="I38" s="64">
        <v>2.0030000000000001</v>
      </c>
      <c r="J38" s="65">
        <v>54020010014</v>
      </c>
      <c r="K38" s="68" t="s">
        <v>2225</v>
      </c>
      <c r="L38" s="68" t="s">
        <v>2226</v>
      </c>
      <c r="M38" s="22" t="s">
        <v>107</v>
      </c>
      <c r="N38" s="85" t="s">
        <v>373</v>
      </c>
      <c r="O38" s="73" t="s">
        <v>381</v>
      </c>
      <c r="P38" s="22" t="s">
        <v>1020</v>
      </c>
      <c r="Q38" s="22" t="s">
        <v>373</v>
      </c>
      <c r="R38" s="22">
        <v>5</v>
      </c>
      <c r="S38" s="21">
        <v>45</v>
      </c>
      <c r="T38" s="22">
        <v>14</v>
      </c>
      <c r="U38" s="21">
        <v>400</v>
      </c>
      <c r="V38" s="21">
        <v>1100</v>
      </c>
      <c r="W38" s="21">
        <v>500</v>
      </c>
      <c r="X38" s="21">
        <v>750</v>
      </c>
      <c r="Y38" s="94">
        <v>1000</v>
      </c>
      <c r="Z38" s="116">
        <v>1100</v>
      </c>
      <c r="AA38" s="87">
        <v>500000000</v>
      </c>
      <c r="AB38" s="29">
        <v>818687360</v>
      </c>
      <c r="AC38" s="130">
        <v>500000000</v>
      </c>
      <c r="AD38" s="131">
        <v>560742000</v>
      </c>
      <c r="AE38" s="87">
        <f t="shared" si="1"/>
        <v>2379429360</v>
      </c>
      <c r="AF38" s="30" t="s">
        <v>370</v>
      </c>
    </row>
    <row r="39" spans="1:32" ht="82.8" x14ac:dyDescent="0.3">
      <c r="A39" s="169"/>
      <c r="B39" s="170">
        <v>0</v>
      </c>
      <c r="C39" s="171"/>
      <c r="D39" s="171">
        <v>0</v>
      </c>
      <c r="E39" s="64">
        <v>0</v>
      </c>
      <c r="F39" s="64">
        <f>1.029-1.029</f>
        <v>0</v>
      </c>
      <c r="G39" s="64">
        <v>1.1520000000000001</v>
      </c>
      <c r="H39" s="64">
        <f>1.129-1.129</f>
        <v>0</v>
      </c>
      <c r="I39" s="64">
        <v>0.82699999999999996</v>
      </c>
      <c r="J39" s="65">
        <v>54020010015</v>
      </c>
      <c r="K39" s="68" t="s">
        <v>2227</v>
      </c>
      <c r="L39" s="68" t="s">
        <v>2228</v>
      </c>
      <c r="M39" s="22" t="s">
        <v>107</v>
      </c>
      <c r="N39" s="85" t="s">
        <v>373</v>
      </c>
      <c r="O39" s="73" t="s">
        <v>381</v>
      </c>
      <c r="P39" s="22" t="s">
        <v>1021</v>
      </c>
      <c r="Q39" s="22" t="s">
        <v>373</v>
      </c>
      <c r="R39" s="22">
        <v>17</v>
      </c>
      <c r="S39" s="21">
        <v>45</v>
      </c>
      <c r="T39" s="22">
        <v>17</v>
      </c>
      <c r="U39" s="21">
        <v>0</v>
      </c>
      <c r="V39" s="21">
        <v>35</v>
      </c>
      <c r="W39" s="21">
        <v>0</v>
      </c>
      <c r="X39" s="21">
        <v>0</v>
      </c>
      <c r="Y39" s="94">
        <v>25</v>
      </c>
      <c r="Z39" s="116">
        <v>0</v>
      </c>
      <c r="AA39" s="87">
        <v>0</v>
      </c>
      <c r="AB39" s="29">
        <v>0</v>
      </c>
      <c r="AC39" s="130">
        <v>34304000</v>
      </c>
      <c r="AD39" s="131">
        <v>0</v>
      </c>
      <c r="AE39" s="87">
        <f t="shared" si="1"/>
        <v>34304000</v>
      </c>
      <c r="AF39" s="30" t="s">
        <v>361</v>
      </c>
    </row>
    <row r="40" spans="1:32" ht="55.2" x14ac:dyDescent="0.3">
      <c r="A40" s="169"/>
      <c r="B40" s="170">
        <v>0</v>
      </c>
      <c r="C40" s="171"/>
      <c r="D40" s="171">
        <v>0</v>
      </c>
      <c r="E40" s="64">
        <v>0</v>
      </c>
      <c r="F40" s="64">
        <f>4.167-2-2.167</f>
        <v>0</v>
      </c>
      <c r="G40" s="64">
        <f>2.489-2.489+2.489</f>
        <v>2.4889999999999999</v>
      </c>
      <c r="H40" s="97">
        <f>0+2-1-1+0.8+1+0.8</f>
        <v>2.6</v>
      </c>
      <c r="I40" s="64">
        <v>1.4139999999999999</v>
      </c>
      <c r="J40" s="65">
        <v>54020010016</v>
      </c>
      <c r="K40" s="68" t="s">
        <v>2229</v>
      </c>
      <c r="L40" s="68" t="s">
        <v>2230</v>
      </c>
      <c r="M40" s="22" t="s">
        <v>107</v>
      </c>
      <c r="N40" s="85" t="s">
        <v>373</v>
      </c>
      <c r="O40" s="73" t="s">
        <v>381</v>
      </c>
      <c r="P40" s="22" t="s">
        <v>1022</v>
      </c>
      <c r="Q40" s="22" t="s">
        <v>373</v>
      </c>
      <c r="R40" s="22">
        <v>17</v>
      </c>
      <c r="S40" s="21">
        <v>45</v>
      </c>
      <c r="T40" s="22">
        <v>17</v>
      </c>
      <c r="U40" s="21">
        <v>1641</v>
      </c>
      <c r="V40" s="21">
        <v>1941</v>
      </c>
      <c r="W40" s="21">
        <v>0</v>
      </c>
      <c r="X40" s="21">
        <v>0</v>
      </c>
      <c r="Y40" s="94">
        <v>1715</v>
      </c>
      <c r="Z40" s="122">
        <v>1941</v>
      </c>
      <c r="AA40" s="87">
        <v>0</v>
      </c>
      <c r="AB40" s="29">
        <v>0</v>
      </c>
      <c r="AC40" s="130">
        <v>1316218136</v>
      </c>
      <c r="AD40" s="131">
        <v>394909842</v>
      </c>
      <c r="AE40" s="87">
        <f t="shared" si="1"/>
        <v>1711127978</v>
      </c>
      <c r="AF40" s="30" t="s">
        <v>371</v>
      </c>
    </row>
    <row r="41" spans="1:32" ht="96.6" x14ac:dyDescent="0.3">
      <c r="A41" s="169"/>
      <c r="B41" s="170">
        <v>0</v>
      </c>
      <c r="C41" s="171"/>
      <c r="D41" s="171">
        <v>0</v>
      </c>
      <c r="E41" s="64">
        <v>2.4319999999999999</v>
      </c>
      <c r="F41" s="64">
        <v>2.754</v>
      </c>
      <c r="G41" s="64">
        <v>2.9329999999999998</v>
      </c>
      <c r="H41" s="64">
        <f>2.679-1</f>
        <v>1.6789999999999998</v>
      </c>
      <c r="I41" s="64">
        <v>2.6989999999999998</v>
      </c>
      <c r="J41" s="65">
        <v>54020010017</v>
      </c>
      <c r="K41" s="68" t="s">
        <v>2231</v>
      </c>
      <c r="L41" s="68" t="s">
        <v>2232</v>
      </c>
      <c r="M41" s="22" t="s">
        <v>107</v>
      </c>
      <c r="N41" s="85" t="s">
        <v>374</v>
      </c>
      <c r="O41" s="73" t="s">
        <v>1023</v>
      </c>
      <c r="P41" s="22" t="s">
        <v>1024</v>
      </c>
      <c r="Q41" s="22" t="s">
        <v>373</v>
      </c>
      <c r="R41" s="22">
        <v>17</v>
      </c>
      <c r="S41" s="21">
        <v>45</v>
      </c>
      <c r="T41" s="22">
        <v>17</v>
      </c>
      <c r="U41" s="21">
        <v>2.56</v>
      </c>
      <c r="V41" s="21">
        <v>50</v>
      </c>
      <c r="W41" s="48">
        <v>5.0999999999999996</v>
      </c>
      <c r="X41" s="48">
        <v>15.4</v>
      </c>
      <c r="Y41" s="102">
        <v>30.8</v>
      </c>
      <c r="Z41" s="121">
        <v>50</v>
      </c>
      <c r="AA41" s="87">
        <v>132580053</v>
      </c>
      <c r="AB41" s="29">
        <v>305060000</v>
      </c>
      <c r="AC41" s="130">
        <v>112104000</v>
      </c>
      <c r="AD41" s="131">
        <v>58854600</v>
      </c>
      <c r="AE41" s="87">
        <f t="shared" si="1"/>
        <v>608598653</v>
      </c>
      <c r="AF41" s="30" t="s">
        <v>361</v>
      </c>
    </row>
    <row r="42" spans="1:32" ht="82.8" x14ac:dyDescent="0.3">
      <c r="A42" s="169"/>
      <c r="B42" s="170">
        <v>0</v>
      </c>
      <c r="C42" s="171"/>
      <c r="D42" s="171">
        <v>0</v>
      </c>
      <c r="E42" s="64">
        <v>0</v>
      </c>
      <c r="F42" s="64">
        <v>1.333</v>
      </c>
      <c r="G42" s="64">
        <v>1.6060000000000001</v>
      </c>
      <c r="H42" s="64">
        <v>1.4690000000000001</v>
      </c>
      <c r="I42" s="64">
        <v>1.1020000000000001</v>
      </c>
      <c r="J42" s="65">
        <v>54020010018</v>
      </c>
      <c r="K42" s="68" t="s">
        <v>2233</v>
      </c>
      <c r="L42" s="68" t="s">
        <v>2234</v>
      </c>
      <c r="M42" s="22" t="s">
        <v>107</v>
      </c>
      <c r="N42" s="85" t="s">
        <v>374</v>
      </c>
      <c r="O42" s="73" t="s">
        <v>405</v>
      </c>
      <c r="P42" s="22" t="s">
        <v>1025</v>
      </c>
      <c r="Q42" s="22" t="s">
        <v>373</v>
      </c>
      <c r="R42" s="22">
        <v>17</v>
      </c>
      <c r="S42" s="21">
        <v>39</v>
      </c>
      <c r="T42" s="22">
        <v>17</v>
      </c>
      <c r="U42" s="21">
        <v>0</v>
      </c>
      <c r="V42" s="21">
        <v>100</v>
      </c>
      <c r="W42" s="21">
        <v>0</v>
      </c>
      <c r="X42" s="22">
        <v>30</v>
      </c>
      <c r="Y42" s="101">
        <v>64.599999999999994</v>
      </c>
      <c r="Z42" s="117">
        <v>100</v>
      </c>
      <c r="AA42" s="87">
        <v>0</v>
      </c>
      <c r="AB42" s="29">
        <v>50639640</v>
      </c>
      <c r="AC42" s="130">
        <v>35676160</v>
      </c>
      <c r="AD42" s="131">
        <v>55219640</v>
      </c>
      <c r="AE42" s="87">
        <f t="shared" si="1"/>
        <v>141535440</v>
      </c>
      <c r="AF42" s="30" t="s">
        <v>354</v>
      </c>
    </row>
    <row r="43" spans="1:32" ht="110.4" x14ac:dyDescent="0.3">
      <c r="A43" s="169"/>
      <c r="B43" s="170">
        <v>0</v>
      </c>
      <c r="C43" s="171"/>
      <c r="D43" s="171">
        <v>0</v>
      </c>
      <c r="E43" s="64">
        <v>1.978</v>
      </c>
      <c r="F43" s="64">
        <f>3.068-1.4</f>
        <v>1.6680000000000001</v>
      </c>
      <c r="G43" s="64">
        <f>3.485-1.285-2.2</f>
        <v>0</v>
      </c>
      <c r="H43" s="64">
        <f>2.897-0.9-0.9-0.5-0.597</f>
        <v>0</v>
      </c>
      <c r="I43" s="64">
        <v>2.8570000000000002</v>
      </c>
      <c r="J43" s="65">
        <v>54020010019</v>
      </c>
      <c r="K43" s="68" t="s">
        <v>2235</v>
      </c>
      <c r="L43" s="68" t="s">
        <v>2236</v>
      </c>
      <c r="M43" s="22" t="s">
        <v>107</v>
      </c>
      <c r="N43" s="85" t="s">
        <v>374</v>
      </c>
      <c r="O43" s="73" t="s">
        <v>405</v>
      </c>
      <c r="P43" s="22" t="s">
        <v>1026</v>
      </c>
      <c r="Q43" s="22" t="s">
        <v>373</v>
      </c>
      <c r="R43" s="22">
        <v>17</v>
      </c>
      <c r="S43" s="21">
        <v>39</v>
      </c>
      <c r="T43" s="22">
        <v>17</v>
      </c>
      <c r="U43" s="21">
        <v>0</v>
      </c>
      <c r="V43" s="21">
        <v>50</v>
      </c>
      <c r="W43" s="21">
        <v>4</v>
      </c>
      <c r="X43" s="22">
        <v>15</v>
      </c>
      <c r="Y43" s="101">
        <v>0</v>
      </c>
      <c r="Z43" s="117">
        <v>0</v>
      </c>
      <c r="AA43" s="87">
        <v>78303753</v>
      </c>
      <c r="AB43" s="29">
        <v>153712104</v>
      </c>
      <c r="AC43" s="130">
        <v>0</v>
      </c>
      <c r="AD43" s="131">
        <v>0</v>
      </c>
      <c r="AE43" s="87">
        <f t="shared" si="1"/>
        <v>232015857</v>
      </c>
      <c r="AF43" s="30" t="s">
        <v>354</v>
      </c>
    </row>
    <row r="44" spans="1:32" ht="110.4" x14ac:dyDescent="0.3">
      <c r="A44" s="169"/>
      <c r="B44" s="170">
        <v>0</v>
      </c>
      <c r="C44" s="171"/>
      <c r="D44" s="171">
        <v>0</v>
      </c>
      <c r="E44" s="64">
        <v>2.133</v>
      </c>
      <c r="F44" s="64">
        <v>2.2349999999999999</v>
      </c>
      <c r="G44" s="64">
        <v>1.466</v>
      </c>
      <c r="H44" s="64">
        <v>1.3390000000000002</v>
      </c>
      <c r="I44" s="64">
        <v>1.7930000000000001</v>
      </c>
      <c r="J44" s="65">
        <v>54020010020</v>
      </c>
      <c r="K44" s="68" t="s">
        <v>2237</v>
      </c>
      <c r="L44" s="68" t="s">
        <v>2238</v>
      </c>
      <c r="M44" s="22" t="s">
        <v>107</v>
      </c>
      <c r="N44" s="85" t="s">
        <v>373</v>
      </c>
      <c r="O44" s="73" t="s">
        <v>419</v>
      </c>
      <c r="P44" s="22" t="s">
        <v>1027</v>
      </c>
      <c r="Q44" s="22" t="s">
        <v>373</v>
      </c>
      <c r="R44" s="22">
        <v>17</v>
      </c>
      <c r="S44" s="21">
        <v>45</v>
      </c>
      <c r="T44" s="22">
        <v>17</v>
      </c>
      <c r="U44" s="21">
        <v>0</v>
      </c>
      <c r="V44" s="21">
        <v>2</v>
      </c>
      <c r="W44" s="33">
        <v>0.17</v>
      </c>
      <c r="X44" s="33">
        <v>1.17</v>
      </c>
      <c r="Y44" s="103">
        <v>1.67</v>
      </c>
      <c r="Z44" s="123">
        <v>2</v>
      </c>
      <c r="AA44" s="87">
        <v>40699850</v>
      </c>
      <c r="AB44" s="29">
        <v>101680000</v>
      </c>
      <c r="AC44" s="130">
        <v>60648000</v>
      </c>
      <c r="AD44" s="131">
        <v>22194900</v>
      </c>
      <c r="AE44" s="87">
        <f t="shared" si="1"/>
        <v>225222750</v>
      </c>
      <c r="AF44" s="30" t="s">
        <v>361</v>
      </c>
    </row>
    <row r="45" spans="1:32" ht="220.8" x14ac:dyDescent="0.3">
      <c r="A45" s="169"/>
      <c r="B45" s="170">
        <v>0</v>
      </c>
      <c r="C45" s="171"/>
      <c r="D45" s="171">
        <v>0</v>
      </c>
      <c r="E45" s="64">
        <v>3.9129999999999998</v>
      </c>
      <c r="F45" s="64">
        <f>2.867+1.029</f>
        <v>3.8959999999999999</v>
      </c>
      <c r="G45" s="64">
        <v>3.1189999999999998</v>
      </c>
      <c r="H45" s="64">
        <f>2.875+1+1</f>
        <v>4.875</v>
      </c>
      <c r="I45" s="64">
        <v>3.1940000000000004</v>
      </c>
      <c r="J45" s="65">
        <v>54020010021</v>
      </c>
      <c r="K45" s="68" t="s">
        <v>2239</v>
      </c>
      <c r="L45" s="68" t="s">
        <v>2240</v>
      </c>
      <c r="M45" s="22" t="s">
        <v>107</v>
      </c>
      <c r="N45" s="85" t="s">
        <v>373</v>
      </c>
      <c r="O45" s="73" t="s">
        <v>1028</v>
      </c>
      <c r="P45" s="22" t="s">
        <v>1029</v>
      </c>
      <c r="Q45" s="22" t="s">
        <v>373</v>
      </c>
      <c r="R45" s="22">
        <v>12</v>
      </c>
      <c r="S45" s="21">
        <v>45</v>
      </c>
      <c r="T45" s="22">
        <v>17</v>
      </c>
      <c r="U45" s="21">
        <v>0</v>
      </c>
      <c r="V45" s="21">
        <v>1</v>
      </c>
      <c r="W45" s="33">
        <v>0.15</v>
      </c>
      <c r="X45" s="33">
        <v>0.4</v>
      </c>
      <c r="Y45" s="103">
        <v>0.8</v>
      </c>
      <c r="Z45" s="123">
        <v>1</v>
      </c>
      <c r="AA45" s="87">
        <v>1200000000</v>
      </c>
      <c r="AB45" s="29">
        <v>1010695000</v>
      </c>
      <c r="AC45" s="130">
        <v>1880000000</v>
      </c>
      <c r="AD45" s="131">
        <v>1431000000</v>
      </c>
      <c r="AE45" s="87">
        <f t="shared" si="1"/>
        <v>5521695000</v>
      </c>
      <c r="AF45" s="30" t="s">
        <v>360</v>
      </c>
    </row>
    <row r="46" spans="1:32" ht="165.6" x14ac:dyDescent="0.3">
      <c r="A46" s="169"/>
      <c r="B46" s="170">
        <v>0</v>
      </c>
      <c r="C46" s="171"/>
      <c r="D46" s="171">
        <v>0</v>
      </c>
      <c r="E46" s="64">
        <v>5.4879999999999995</v>
      </c>
      <c r="F46" s="64">
        <v>3.6310000000000002</v>
      </c>
      <c r="G46" s="64">
        <v>3.496</v>
      </c>
      <c r="H46" s="64">
        <v>3.3079999999999998</v>
      </c>
      <c r="I46" s="64">
        <v>3.9809999999999999</v>
      </c>
      <c r="J46" s="65">
        <v>54020010022</v>
      </c>
      <c r="K46" s="68" t="s">
        <v>2241</v>
      </c>
      <c r="L46" s="68" t="s">
        <v>2242</v>
      </c>
      <c r="M46" s="22" t="s">
        <v>107</v>
      </c>
      <c r="N46" s="85" t="s">
        <v>374</v>
      </c>
      <c r="O46" s="73" t="s">
        <v>405</v>
      </c>
      <c r="P46" s="22" t="s">
        <v>1030</v>
      </c>
      <c r="Q46" s="22" t="s">
        <v>373</v>
      </c>
      <c r="R46" s="22">
        <v>17</v>
      </c>
      <c r="S46" s="21">
        <v>45</v>
      </c>
      <c r="T46" s="22">
        <v>17</v>
      </c>
      <c r="U46" s="21">
        <v>0</v>
      </c>
      <c r="V46" s="21">
        <v>100</v>
      </c>
      <c r="W46" s="21">
        <v>25</v>
      </c>
      <c r="X46" s="22">
        <v>100</v>
      </c>
      <c r="Y46" s="101">
        <v>100</v>
      </c>
      <c r="Z46" s="117">
        <v>100</v>
      </c>
      <c r="AA46" s="87">
        <v>1683000000</v>
      </c>
      <c r="AB46" s="29">
        <v>1520206959</v>
      </c>
      <c r="AC46" s="130">
        <v>1196931840</v>
      </c>
      <c r="AD46" s="131">
        <v>1100267280</v>
      </c>
      <c r="AE46" s="87">
        <f t="shared" si="1"/>
        <v>5500406079</v>
      </c>
      <c r="AF46" s="30" t="s">
        <v>354</v>
      </c>
    </row>
    <row r="47" spans="1:32" ht="248.4" x14ac:dyDescent="0.3">
      <c r="A47" s="169"/>
      <c r="B47" s="170">
        <v>0</v>
      </c>
      <c r="C47" s="171"/>
      <c r="D47" s="171">
        <v>0</v>
      </c>
      <c r="E47" s="64">
        <v>2.0670000000000002</v>
      </c>
      <c r="F47" s="64">
        <v>1.3</v>
      </c>
      <c r="G47" s="64">
        <v>1.1830000000000001</v>
      </c>
      <c r="H47" s="64">
        <f>2.164-0.5</f>
        <v>1.6640000000000001</v>
      </c>
      <c r="I47" s="64">
        <v>1.6789999999999998</v>
      </c>
      <c r="J47" s="65">
        <v>54020010023</v>
      </c>
      <c r="K47" s="68" t="s">
        <v>2243</v>
      </c>
      <c r="L47" s="68" t="s">
        <v>2244</v>
      </c>
      <c r="M47" s="22" t="s">
        <v>107</v>
      </c>
      <c r="N47" s="85" t="s">
        <v>374</v>
      </c>
      <c r="O47" s="73" t="s">
        <v>1031</v>
      </c>
      <c r="P47" s="22" t="s">
        <v>1032</v>
      </c>
      <c r="Q47" s="22" t="s">
        <v>373</v>
      </c>
      <c r="R47" s="22">
        <v>17</v>
      </c>
      <c r="S47" s="21">
        <v>45</v>
      </c>
      <c r="T47" s="22">
        <v>17</v>
      </c>
      <c r="U47" s="33">
        <v>2.7</v>
      </c>
      <c r="V47" s="33">
        <v>7.2</v>
      </c>
      <c r="W47" s="33">
        <v>2.75</v>
      </c>
      <c r="X47" s="33">
        <v>4.3</v>
      </c>
      <c r="Y47" s="103">
        <v>6</v>
      </c>
      <c r="Z47" s="121">
        <v>7.2</v>
      </c>
      <c r="AA47" s="87">
        <v>20621667</v>
      </c>
      <c r="AB47" s="29">
        <v>135000000</v>
      </c>
      <c r="AC47" s="130">
        <v>121296000</v>
      </c>
      <c r="AD47" s="131">
        <v>63680400</v>
      </c>
      <c r="AE47" s="87">
        <f t="shared" si="1"/>
        <v>340598067</v>
      </c>
      <c r="AF47" s="30" t="s">
        <v>361</v>
      </c>
    </row>
    <row r="48" spans="1:32" ht="124.2" x14ac:dyDescent="0.3">
      <c r="A48" s="169"/>
      <c r="B48" s="170">
        <v>0</v>
      </c>
      <c r="C48" s="171"/>
      <c r="D48" s="171">
        <v>0</v>
      </c>
      <c r="E48" s="64">
        <v>0</v>
      </c>
      <c r="F48" s="64">
        <v>1.5760000000000001</v>
      </c>
      <c r="G48" s="64">
        <v>1.5959999999999999</v>
      </c>
      <c r="H48" s="64">
        <v>1.528</v>
      </c>
      <c r="I48" s="64">
        <v>1.175</v>
      </c>
      <c r="J48" s="65">
        <v>54020010024</v>
      </c>
      <c r="K48" s="68" t="s">
        <v>2245</v>
      </c>
      <c r="L48" s="68" t="s">
        <v>2246</v>
      </c>
      <c r="M48" s="22" t="s">
        <v>107</v>
      </c>
      <c r="N48" s="85" t="s">
        <v>373</v>
      </c>
      <c r="O48" s="73" t="s">
        <v>400</v>
      </c>
      <c r="P48" s="22" t="s">
        <v>1033</v>
      </c>
      <c r="Q48" s="22" t="s">
        <v>373</v>
      </c>
      <c r="R48" s="22">
        <v>17</v>
      </c>
      <c r="S48" s="21">
        <v>45</v>
      </c>
      <c r="T48" s="22">
        <v>17</v>
      </c>
      <c r="U48" s="21">
        <v>0</v>
      </c>
      <c r="V48" s="21">
        <v>1</v>
      </c>
      <c r="W48" s="33">
        <v>0</v>
      </c>
      <c r="X48" s="33">
        <v>0.25</v>
      </c>
      <c r="Y48" s="103">
        <v>0.75</v>
      </c>
      <c r="Z48" s="123">
        <v>1</v>
      </c>
      <c r="AA48" s="87">
        <v>0</v>
      </c>
      <c r="AB48" s="29">
        <v>75000000</v>
      </c>
      <c r="AC48" s="130">
        <v>34304000</v>
      </c>
      <c r="AD48" s="131">
        <v>61840200</v>
      </c>
      <c r="AE48" s="87">
        <f t="shared" si="1"/>
        <v>171144200</v>
      </c>
      <c r="AF48" s="30" t="s">
        <v>361</v>
      </c>
    </row>
    <row r="49" spans="1:32" ht="82.8" x14ac:dyDescent="0.3">
      <c r="A49" s="169"/>
      <c r="B49" s="170">
        <v>0</v>
      </c>
      <c r="C49" s="171"/>
      <c r="D49" s="171">
        <v>0</v>
      </c>
      <c r="E49" s="64">
        <v>2.5390000000000001</v>
      </c>
      <c r="F49" s="64">
        <v>1.575</v>
      </c>
      <c r="G49" s="64">
        <v>1.6459999999999999</v>
      </c>
      <c r="H49" s="64">
        <v>1.4749999999999999</v>
      </c>
      <c r="I49" s="64">
        <v>1.8089999999999999</v>
      </c>
      <c r="J49" s="65">
        <v>54020010025</v>
      </c>
      <c r="K49" s="68" t="s">
        <v>2247</v>
      </c>
      <c r="L49" s="68" t="s">
        <v>2248</v>
      </c>
      <c r="M49" s="22" t="s">
        <v>144</v>
      </c>
      <c r="N49" s="85" t="s">
        <v>374</v>
      </c>
      <c r="O49" s="73" t="s">
        <v>507</v>
      </c>
      <c r="P49" s="22" t="s">
        <v>1034</v>
      </c>
      <c r="Q49" s="22" t="s">
        <v>373</v>
      </c>
      <c r="R49" s="22">
        <v>17</v>
      </c>
      <c r="S49" s="21">
        <v>45</v>
      </c>
      <c r="T49" s="22">
        <v>17</v>
      </c>
      <c r="U49" s="21">
        <v>100</v>
      </c>
      <c r="V49" s="21">
        <v>100</v>
      </c>
      <c r="W49" s="21">
        <v>100</v>
      </c>
      <c r="X49" s="21">
        <v>100</v>
      </c>
      <c r="Y49" s="94">
        <v>100</v>
      </c>
      <c r="Z49" s="116">
        <v>100</v>
      </c>
      <c r="AA49" s="87">
        <v>165313285</v>
      </c>
      <c r="AB49" s="29">
        <v>331368000</v>
      </c>
      <c r="AC49" s="130">
        <v>285016000</v>
      </c>
      <c r="AD49" s="131">
        <v>120991500</v>
      </c>
      <c r="AE49" s="87">
        <f t="shared" si="1"/>
        <v>902688785</v>
      </c>
      <c r="AF49" s="30" t="s">
        <v>361</v>
      </c>
    </row>
    <row r="50" spans="1:32" ht="55.2" x14ac:dyDescent="0.3">
      <c r="A50" s="169"/>
      <c r="B50" s="170">
        <v>0</v>
      </c>
      <c r="C50" s="171"/>
      <c r="D50" s="171">
        <v>0</v>
      </c>
      <c r="E50" s="64">
        <v>6.0170000000000003</v>
      </c>
      <c r="F50" s="64">
        <f>1.333+2.167</f>
        <v>3.5</v>
      </c>
      <c r="G50" s="64">
        <v>1.327</v>
      </c>
      <c r="H50" s="64">
        <f>1.133+1.093</f>
        <v>2.226</v>
      </c>
      <c r="I50" s="64">
        <v>2.4529999999999998</v>
      </c>
      <c r="J50" s="65">
        <v>54020010026</v>
      </c>
      <c r="K50" s="68" t="s">
        <v>2249</v>
      </c>
      <c r="L50" s="68" t="s">
        <v>2250</v>
      </c>
      <c r="M50" s="22" t="s">
        <v>107</v>
      </c>
      <c r="N50" s="85" t="s">
        <v>373</v>
      </c>
      <c r="O50" s="73" t="s">
        <v>381</v>
      </c>
      <c r="P50" s="22" t="s">
        <v>1035</v>
      </c>
      <c r="Q50" s="22" t="s">
        <v>373</v>
      </c>
      <c r="R50" s="22">
        <v>17</v>
      </c>
      <c r="S50" s="21">
        <v>45</v>
      </c>
      <c r="T50" s="22">
        <v>17</v>
      </c>
      <c r="U50" s="21">
        <v>2</v>
      </c>
      <c r="V50" s="21">
        <v>6</v>
      </c>
      <c r="W50" s="21">
        <v>3</v>
      </c>
      <c r="X50" s="21">
        <v>3</v>
      </c>
      <c r="Y50" s="94">
        <v>3</v>
      </c>
      <c r="Z50" s="116">
        <v>6</v>
      </c>
      <c r="AA50" s="87">
        <v>1845041670</v>
      </c>
      <c r="AB50" s="29">
        <v>2375133928</v>
      </c>
      <c r="AC50" s="130">
        <v>3000000000</v>
      </c>
      <c r="AD50" s="131">
        <v>774361000</v>
      </c>
      <c r="AE50" s="87">
        <f t="shared" si="1"/>
        <v>7994536598</v>
      </c>
      <c r="AF50" s="30" t="s">
        <v>364</v>
      </c>
    </row>
    <row r="51" spans="1:32" ht="69" x14ac:dyDescent="0.3">
      <c r="A51" s="169"/>
      <c r="B51" s="170">
        <v>0</v>
      </c>
      <c r="C51" s="171"/>
      <c r="D51" s="171">
        <v>0</v>
      </c>
      <c r="E51" s="64">
        <v>1.978</v>
      </c>
      <c r="F51" s="64">
        <v>2.04</v>
      </c>
      <c r="G51" s="64">
        <v>1.0549999999999999</v>
      </c>
      <c r="H51" s="64">
        <v>1.9349999999999998</v>
      </c>
      <c r="I51" s="64">
        <v>1.752</v>
      </c>
      <c r="J51" s="65">
        <v>54020010027</v>
      </c>
      <c r="K51" s="68" t="s">
        <v>2251</v>
      </c>
      <c r="L51" s="68" t="s">
        <v>2252</v>
      </c>
      <c r="M51" s="22" t="s">
        <v>107</v>
      </c>
      <c r="N51" s="85" t="s">
        <v>373</v>
      </c>
      <c r="O51" s="73" t="s">
        <v>381</v>
      </c>
      <c r="P51" s="22" t="s">
        <v>1036</v>
      </c>
      <c r="Q51" s="22" t="s">
        <v>373</v>
      </c>
      <c r="R51" s="22">
        <v>17</v>
      </c>
      <c r="S51" s="21">
        <v>36</v>
      </c>
      <c r="T51" s="22">
        <v>17</v>
      </c>
      <c r="U51" s="21">
        <v>1</v>
      </c>
      <c r="V51" s="21">
        <v>5</v>
      </c>
      <c r="W51" s="21">
        <v>2</v>
      </c>
      <c r="X51" s="21">
        <v>3</v>
      </c>
      <c r="Y51" s="94">
        <v>4</v>
      </c>
      <c r="Z51" s="116">
        <v>5</v>
      </c>
      <c r="AA51" s="87">
        <v>300000000</v>
      </c>
      <c r="AB51" s="29">
        <v>399494844</v>
      </c>
      <c r="AC51" s="130">
        <v>714895360</v>
      </c>
      <c r="AD51" s="131">
        <v>220571120</v>
      </c>
      <c r="AE51" s="87">
        <f t="shared" si="1"/>
        <v>1634961324</v>
      </c>
      <c r="AF51" s="30" t="s">
        <v>359</v>
      </c>
    </row>
    <row r="52" spans="1:32" ht="82.8" x14ac:dyDescent="0.3">
      <c r="A52" s="169"/>
      <c r="B52" s="170">
        <v>0</v>
      </c>
      <c r="C52" s="171"/>
      <c r="D52" s="171">
        <v>0</v>
      </c>
      <c r="E52" s="64">
        <v>4.992</v>
      </c>
      <c r="F52" s="64">
        <v>2.0670000000000002</v>
      </c>
      <c r="G52" s="64">
        <v>2.3180000000000001</v>
      </c>
      <c r="H52" s="64">
        <f>2.064+1.159+0.5+0.597</f>
        <v>4.32</v>
      </c>
      <c r="I52" s="64">
        <v>2.86</v>
      </c>
      <c r="J52" s="65">
        <v>54020010028</v>
      </c>
      <c r="K52" s="68" t="s">
        <v>2253</v>
      </c>
      <c r="L52" s="68" t="s">
        <v>2254</v>
      </c>
      <c r="M52" s="22" t="s">
        <v>144</v>
      </c>
      <c r="N52" s="85" t="s">
        <v>374</v>
      </c>
      <c r="O52" s="73" t="s">
        <v>507</v>
      </c>
      <c r="P52" s="22" t="s">
        <v>1037</v>
      </c>
      <c r="Q52" s="22" t="s">
        <v>373</v>
      </c>
      <c r="R52" s="22">
        <v>17</v>
      </c>
      <c r="S52" s="21">
        <v>45</v>
      </c>
      <c r="T52" s="22">
        <v>16</v>
      </c>
      <c r="U52" s="21">
        <v>100</v>
      </c>
      <c r="V52" s="21">
        <v>100</v>
      </c>
      <c r="W52" s="21">
        <v>100</v>
      </c>
      <c r="X52" s="21">
        <v>100</v>
      </c>
      <c r="Y52" s="94">
        <v>100</v>
      </c>
      <c r="Z52" s="116">
        <v>100</v>
      </c>
      <c r="AA52" s="87">
        <v>1530756282</v>
      </c>
      <c r="AB52" s="29">
        <v>1081559198</v>
      </c>
      <c r="AC52" s="130">
        <v>2331609054</v>
      </c>
      <c r="AD52" s="131">
        <v>3805008000</v>
      </c>
      <c r="AE52" s="87">
        <f t="shared" si="1"/>
        <v>8748932534</v>
      </c>
      <c r="AF52" s="30" t="s">
        <v>1141</v>
      </c>
    </row>
    <row r="53" spans="1:32" ht="69" x14ac:dyDescent="0.3">
      <c r="A53" s="169"/>
      <c r="B53" s="170">
        <v>0</v>
      </c>
      <c r="C53" s="171"/>
      <c r="D53" s="171">
        <v>0</v>
      </c>
      <c r="E53" s="64">
        <v>0</v>
      </c>
      <c r="F53" s="64">
        <v>2.1</v>
      </c>
      <c r="G53" s="64">
        <v>1.1159999999999999</v>
      </c>
      <c r="H53" s="64">
        <f>2.085-0.5</f>
        <v>1.585</v>
      </c>
      <c r="I53" s="64">
        <v>1.325</v>
      </c>
      <c r="J53" s="65">
        <v>54020010029</v>
      </c>
      <c r="K53" s="68" t="s">
        <v>2255</v>
      </c>
      <c r="L53" s="68" t="s">
        <v>2256</v>
      </c>
      <c r="M53" s="22" t="s">
        <v>803</v>
      </c>
      <c r="N53" s="85" t="s">
        <v>373</v>
      </c>
      <c r="O53" s="73" t="s">
        <v>381</v>
      </c>
      <c r="P53" s="22" t="s">
        <v>1038</v>
      </c>
      <c r="Q53" s="22" t="s">
        <v>373</v>
      </c>
      <c r="R53" s="22">
        <v>17</v>
      </c>
      <c r="S53" s="21">
        <v>33</v>
      </c>
      <c r="T53" s="22">
        <v>5</v>
      </c>
      <c r="U53" s="21">
        <v>8</v>
      </c>
      <c r="V53" s="21">
        <v>12</v>
      </c>
      <c r="W53" s="21">
        <v>0</v>
      </c>
      <c r="X53" s="21">
        <v>9</v>
      </c>
      <c r="Y53" s="94">
        <v>11</v>
      </c>
      <c r="Z53" s="116">
        <v>12</v>
      </c>
      <c r="AA53" s="87">
        <v>0</v>
      </c>
      <c r="AB53" s="29">
        <v>48740659</v>
      </c>
      <c r="AC53" s="130">
        <v>48740659</v>
      </c>
      <c r="AD53" s="131">
        <v>72746305</v>
      </c>
      <c r="AE53" s="87">
        <f t="shared" si="1"/>
        <v>170227623</v>
      </c>
      <c r="AF53" s="30" t="s">
        <v>355</v>
      </c>
    </row>
    <row r="54" spans="1:32" ht="55.2" x14ac:dyDescent="0.3">
      <c r="A54" s="169"/>
      <c r="B54" s="170">
        <v>0</v>
      </c>
      <c r="C54" s="171"/>
      <c r="D54" s="171">
        <v>0</v>
      </c>
      <c r="E54" s="64">
        <v>0</v>
      </c>
      <c r="F54" s="64">
        <v>0</v>
      </c>
      <c r="G54" s="64">
        <v>1.9590000000000001</v>
      </c>
      <c r="H54" s="64">
        <f>1.86+1-0.5</f>
        <v>2.3600000000000003</v>
      </c>
      <c r="I54" s="64">
        <v>1.4339999999999999</v>
      </c>
      <c r="J54" s="65">
        <v>54020010030</v>
      </c>
      <c r="K54" s="68" t="s">
        <v>2257</v>
      </c>
      <c r="L54" s="68" t="s">
        <v>2258</v>
      </c>
      <c r="M54" s="22" t="s">
        <v>144</v>
      </c>
      <c r="N54" s="85" t="s">
        <v>373</v>
      </c>
      <c r="O54" s="73" t="s">
        <v>381</v>
      </c>
      <c r="P54" s="22" t="s">
        <v>1039</v>
      </c>
      <c r="Q54" s="22" t="s">
        <v>373</v>
      </c>
      <c r="R54" s="22">
        <v>17</v>
      </c>
      <c r="S54" s="21">
        <v>45</v>
      </c>
      <c r="T54" s="22">
        <v>17</v>
      </c>
      <c r="U54" s="21">
        <v>0</v>
      </c>
      <c r="V54" s="21">
        <v>1</v>
      </c>
      <c r="W54" s="21">
        <v>0</v>
      </c>
      <c r="X54" s="21">
        <v>0</v>
      </c>
      <c r="Y54" s="94">
        <v>1</v>
      </c>
      <c r="Z54" s="116">
        <v>1</v>
      </c>
      <c r="AA54" s="87">
        <v>0</v>
      </c>
      <c r="AB54" s="29">
        <v>0</v>
      </c>
      <c r="AC54" s="130">
        <v>538000000</v>
      </c>
      <c r="AD54" s="131">
        <v>336731720</v>
      </c>
      <c r="AE54" s="87">
        <f t="shared" si="1"/>
        <v>874731720</v>
      </c>
      <c r="AF54" s="30" t="s">
        <v>1139</v>
      </c>
    </row>
    <row r="55" spans="1:32" ht="41.4" x14ac:dyDescent="0.3">
      <c r="A55" s="169"/>
      <c r="B55" s="170">
        <v>0</v>
      </c>
      <c r="C55" s="171"/>
      <c r="D55" s="171">
        <v>0</v>
      </c>
      <c r="E55" s="64">
        <v>0</v>
      </c>
      <c r="F55" s="64">
        <v>0</v>
      </c>
      <c r="G55" s="64">
        <v>1.3320000000000001</v>
      </c>
      <c r="H55" s="64">
        <v>1.3540000000000001</v>
      </c>
      <c r="I55" s="64">
        <v>0.67099999999999993</v>
      </c>
      <c r="J55" s="65">
        <v>54020010031</v>
      </c>
      <c r="K55" s="68" t="s">
        <v>2259</v>
      </c>
      <c r="L55" s="68" t="s">
        <v>2260</v>
      </c>
      <c r="M55" s="22" t="s">
        <v>107</v>
      </c>
      <c r="N55" s="85" t="s">
        <v>373</v>
      </c>
      <c r="O55" s="73" t="s">
        <v>381</v>
      </c>
      <c r="P55" s="22" t="s">
        <v>1040</v>
      </c>
      <c r="Q55" s="22" t="s">
        <v>373</v>
      </c>
      <c r="R55" s="22">
        <v>17</v>
      </c>
      <c r="S55" s="21">
        <v>24</v>
      </c>
      <c r="T55" s="22">
        <v>9</v>
      </c>
      <c r="U55" s="21">
        <v>0</v>
      </c>
      <c r="V55" s="21">
        <v>2</v>
      </c>
      <c r="W55" s="21">
        <v>0</v>
      </c>
      <c r="X55" s="21">
        <v>0</v>
      </c>
      <c r="Y55" s="94">
        <v>1</v>
      </c>
      <c r="Z55" s="116">
        <v>2</v>
      </c>
      <c r="AA55" s="87">
        <v>0</v>
      </c>
      <c r="AB55" s="29">
        <v>0</v>
      </c>
      <c r="AC55" s="130">
        <v>100000000</v>
      </c>
      <c r="AD55" s="131">
        <v>54028800</v>
      </c>
      <c r="AE55" s="87">
        <f t="shared" si="1"/>
        <v>154028800</v>
      </c>
      <c r="AF55" s="30" t="s">
        <v>362</v>
      </c>
    </row>
    <row r="56" spans="1:32" ht="55.2" x14ac:dyDescent="0.3">
      <c r="A56" s="169"/>
      <c r="B56" s="170">
        <v>0</v>
      </c>
      <c r="C56" s="171"/>
      <c r="D56" s="171">
        <v>0</v>
      </c>
      <c r="E56" s="64">
        <v>0</v>
      </c>
      <c r="F56" s="64">
        <v>1.9789999999999999</v>
      </c>
      <c r="G56" s="64">
        <v>1.1259999999999999</v>
      </c>
      <c r="H56" s="64">
        <f>2.103+0.5</f>
        <v>2.6030000000000002</v>
      </c>
      <c r="I56" s="64">
        <v>1.302</v>
      </c>
      <c r="J56" s="65">
        <v>54020010032</v>
      </c>
      <c r="K56" s="68" t="s">
        <v>2261</v>
      </c>
      <c r="L56" s="68" t="s">
        <v>2262</v>
      </c>
      <c r="M56" s="22" t="s">
        <v>107</v>
      </c>
      <c r="N56" s="85" t="s">
        <v>373</v>
      </c>
      <c r="O56" s="73" t="s">
        <v>419</v>
      </c>
      <c r="P56" s="22" t="s">
        <v>1041</v>
      </c>
      <c r="Q56" s="22" t="s">
        <v>373</v>
      </c>
      <c r="R56" s="22">
        <v>17</v>
      </c>
      <c r="S56" s="21">
        <v>23</v>
      </c>
      <c r="T56" s="22">
        <v>17</v>
      </c>
      <c r="U56" s="21">
        <v>0</v>
      </c>
      <c r="V56" s="21">
        <v>2</v>
      </c>
      <c r="W56" s="21">
        <v>0</v>
      </c>
      <c r="X56" s="21">
        <v>1</v>
      </c>
      <c r="Y56" s="101">
        <v>1</v>
      </c>
      <c r="Z56" s="116">
        <v>2</v>
      </c>
      <c r="AA56" s="87">
        <v>0</v>
      </c>
      <c r="AB56" s="29">
        <v>222012354</v>
      </c>
      <c r="AC56" s="130">
        <v>252400488</v>
      </c>
      <c r="AD56" s="131">
        <v>392569000</v>
      </c>
      <c r="AE56" s="87">
        <f t="shared" si="1"/>
        <v>866981842</v>
      </c>
      <c r="AF56" s="30" t="s">
        <v>1140</v>
      </c>
    </row>
    <row r="57" spans="1:32" ht="317.39999999999998" x14ac:dyDescent="0.3">
      <c r="A57" s="169"/>
      <c r="B57" s="170">
        <v>0</v>
      </c>
      <c r="C57" s="171"/>
      <c r="D57" s="171">
        <v>0</v>
      </c>
      <c r="E57" s="64">
        <v>2.31</v>
      </c>
      <c r="F57" s="64">
        <v>2.0830000000000002</v>
      </c>
      <c r="G57" s="64">
        <v>1.1860000000000002</v>
      </c>
      <c r="H57" s="64">
        <f>1.112+0.7</f>
        <v>1.8120000000000001</v>
      </c>
      <c r="I57" s="64">
        <v>1.6729999999999998</v>
      </c>
      <c r="J57" s="65">
        <v>54020010033</v>
      </c>
      <c r="K57" s="68" t="s">
        <v>2263</v>
      </c>
      <c r="L57" s="68" t="s">
        <v>2264</v>
      </c>
      <c r="M57" s="22" t="s">
        <v>107</v>
      </c>
      <c r="N57" s="85" t="s">
        <v>373</v>
      </c>
      <c r="O57" s="73" t="s">
        <v>1042</v>
      </c>
      <c r="P57" s="22" t="s">
        <v>1043</v>
      </c>
      <c r="Q57" s="22" t="s">
        <v>373</v>
      </c>
      <c r="R57" s="22">
        <v>17</v>
      </c>
      <c r="S57" s="21">
        <v>45</v>
      </c>
      <c r="T57" s="22">
        <v>17</v>
      </c>
      <c r="U57" s="33">
        <v>0</v>
      </c>
      <c r="V57" s="33">
        <v>7</v>
      </c>
      <c r="W57" s="33">
        <v>1.5</v>
      </c>
      <c r="X57" s="33">
        <v>4.33</v>
      </c>
      <c r="Y57" s="103">
        <v>5.17</v>
      </c>
      <c r="Z57" s="123">
        <v>7</v>
      </c>
      <c r="AA57" s="87">
        <v>94940000</v>
      </c>
      <c r="AB57" s="29">
        <v>476917108</v>
      </c>
      <c r="AC57" s="130">
        <v>136008000</v>
      </c>
      <c r="AD57" s="131">
        <v>201656700</v>
      </c>
      <c r="AE57" s="87">
        <f t="shared" si="1"/>
        <v>909521808</v>
      </c>
      <c r="AF57" s="30" t="s">
        <v>361</v>
      </c>
    </row>
    <row r="58" spans="1:32" ht="69" x14ac:dyDescent="0.3">
      <c r="A58" s="169"/>
      <c r="B58" s="170">
        <v>0</v>
      </c>
      <c r="C58" s="171"/>
      <c r="D58" s="171">
        <v>0</v>
      </c>
      <c r="E58" s="64">
        <v>2.4459999999999997</v>
      </c>
      <c r="F58" s="64">
        <v>2.0329999999999999</v>
      </c>
      <c r="G58" s="64">
        <v>2.0789999999999997</v>
      </c>
      <c r="H58" s="64">
        <f>1.967-0.5</f>
        <v>1.4670000000000001</v>
      </c>
      <c r="I58" s="64">
        <v>2.1309999999999998</v>
      </c>
      <c r="J58" s="65">
        <v>54020010034</v>
      </c>
      <c r="K58" s="68" t="s">
        <v>2265</v>
      </c>
      <c r="L58" s="68" t="s">
        <v>2266</v>
      </c>
      <c r="M58" s="22" t="s">
        <v>107</v>
      </c>
      <c r="N58" s="85" t="s">
        <v>373</v>
      </c>
      <c r="O58" s="73" t="s">
        <v>381</v>
      </c>
      <c r="P58" s="22" t="s">
        <v>1044</v>
      </c>
      <c r="Q58" s="22" t="s">
        <v>373</v>
      </c>
      <c r="R58" s="22">
        <v>17</v>
      </c>
      <c r="S58" s="21">
        <v>45</v>
      </c>
      <c r="T58" s="22">
        <v>17</v>
      </c>
      <c r="U58" s="21">
        <v>90</v>
      </c>
      <c r="V58" s="21">
        <v>190</v>
      </c>
      <c r="W58" s="21">
        <v>105</v>
      </c>
      <c r="X58" s="21">
        <v>130</v>
      </c>
      <c r="Y58" s="94">
        <v>165</v>
      </c>
      <c r="Z58" s="116">
        <v>190</v>
      </c>
      <c r="AA58" s="87">
        <v>136845737</v>
      </c>
      <c r="AB58" s="29">
        <v>434317108</v>
      </c>
      <c r="AC58" s="130">
        <v>163560000</v>
      </c>
      <c r="AD58" s="131">
        <v>139897800</v>
      </c>
      <c r="AE58" s="87">
        <f t="shared" si="1"/>
        <v>874620645</v>
      </c>
      <c r="AF58" s="30" t="s">
        <v>361</v>
      </c>
    </row>
    <row r="59" spans="1:32" ht="69" x14ac:dyDescent="0.3">
      <c r="A59" s="169"/>
      <c r="B59" s="170">
        <v>0</v>
      </c>
      <c r="C59" s="171"/>
      <c r="D59" s="171">
        <v>0</v>
      </c>
      <c r="E59" s="64">
        <v>0</v>
      </c>
      <c r="F59" s="64">
        <f>2.65-2.65+2.65</f>
        <v>2.65</v>
      </c>
      <c r="G59" s="64">
        <f>3.297+2.489-2.489</f>
        <v>3.2969999999999997</v>
      </c>
      <c r="H59" s="64">
        <v>2.5860000000000003</v>
      </c>
      <c r="I59" s="64">
        <v>1.9040000000000001</v>
      </c>
      <c r="J59" s="65">
        <v>54020010035</v>
      </c>
      <c r="K59" s="68" t="s">
        <v>2267</v>
      </c>
      <c r="L59" s="68" t="s">
        <v>2268</v>
      </c>
      <c r="M59" s="22" t="s">
        <v>107</v>
      </c>
      <c r="N59" s="85" t="s">
        <v>373</v>
      </c>
      <c r="O59" s="73" t="s">
        <v>381</v>
      </c>
      <c r="P59" s="22" t="s">
        <v>1045</v>
      </c>
      <c r="Q59" s="22" t="s">
        <v>373</v>
      </c>
      <c r="R59" s="22">
        <v>11</v>
      </c>
      <c r="S59" s="21">
        <v>45</v>
      </c>
      <c r="T59" s="22">
        <v>17</v>
      </c>
      <c r="U59" s="21">
        <v>2</v>
      </c>
      <c r="V59" s="21">
        <v>6</v>
      </c>
      <c r="W59" s="21">
        <v>0</v>
      </c>
      <c r="X59" s="21">
        <v>1</v>
      </c>
      <c r="Y59" s="94">
        <v>1</v>
      </c>
      <c r="Z59" s="116">
        <v>6</v>
      </c>
      <c r="AA59" s="87">
        <v>0</v>
      </c>
      <c r="AB59" s="29">
        <v>650000000</v>
      </c>
      <c r="AC59" s="130">
        <v>15000000000</v>
      </c>
      <c r="AD59" s="131">
        <v>453137096</v>
      </c>
      <c r="AE59" s="87">
        <f t="shared" si="1"/>
        <v>16103137096</v>
      </c>
      <c r="AF59" s="30" t="s">
        <v>371</v>
      </c>
    </row>
    <row r="60" spans="1:32" ht="69" x14ac:dyDescent="0.3">
      <c r="A60" s="169"/>
      <c r="B60" s="170">
        <v>0</v>
      </c>
      <c r="C60" s="171"/>
      <c r="D60" s="171">
        <v>0</v>
      </c>
      <c r="E60" s="64">
        <v>1.6310000000000002</v>
      </c>
      <c r="F60" s="64">
        <f>1.875+2.65-2.65</f>
        <v>1.8750000000000004</v>
      </c>
      <c r="G60" s="64">
        <v>0</v>
      </c>
      <c r="H60" s="64">
        <v>0</v>
      </c>
      <c r="I60" s="64">
        <v>0.876</v>
      </c>
      <c r="J60" s="65">
        <v>54020010036</v>
      </c>
      <c r="K60" s="68" t="s">
        <v>2269</v>
      </c>
      <c r="L60" s="68" t="s">
        <v>2270</v>
      </c>
      <c r="M60" s="22" t="s">
        <v>107</v>
      </c>
      <c r="N60" s="85" t="s">
        <v>374</v>
      </c>
      <c r="O60" s="73" t="s">
        <v>507</v>
      </c>
      <c r="P60" s="22" t="s">
        <v>1046</v>
      </c>
      <c r="Q60" s="22" t="s">
        <v>373</v>
      </c>
      <c r="R60" s="22">
        <v>11</v>
      </c>
      <c r="S60" s="21">
        <v>45</v>
      </c>
      <c r="T60" s="22">
        <v>17</v>
      </c>
      <c r="U60" s="21">
        <v>0</v>
      </c>
      <c r="V60" s="21">
        <v>100</v>
      </c>
      <c r="W60" s="21">
        <v>50</v>
      </c>
      <c r="X60" s="21">
        <v>100</v>
      </c>
      <c r="Y60" s="94">
        <v>0</v>
      </c>
      <c r="Z60" s="116">
        <v>0</v>
      </c>
      <c r="AA60" s="87">
        <v>500000000</v>
      </c>
      <c r="AB60" s="29">
        <v>550000000</v>
      </c>
      <c r="AC60" s="130">
        <v>0</v>
      </c>
      <c r="AD60" s="131">
        <v>0</v>
      </c>
      <c r="AE60" s="87">
        <f t="shared" si="1"/>
        <v>1050000000</v>
      </c>
      <c r="AF60" s="30" t="s">
        <v>371</v>
      </c>
    </row>
    <row r="61" spans="1:32" ht="262.2" x14ac:dyDescent="0.3">
      <c r="A61" s="169"/>
      <c r="B61" s="170">
        <v>0</v>
      </c>
      <c r="C61" s="171"/>
      <c r="D61" s="171">
        <v>0</v>
      </c>
      <c r="E61" s="64">
        <v>2.1850000000000001</v>
      </c>
      <c r="F61" s="64">
        <v>2.1030000000000002</v>
      </c>
      <c r="G61" s="64">
        <v>1.1039999999999999</v>
      </c>
      <c r="H61" s="64">
        <f>2.093-1-1.093</f>
        <v>0</v>
      </c>
      <c r="I61" s="64">
        <v>1.871</v>
      </c>
      <c r="J61" s="65">
        <v>54020010037</v>
      </c>
      <c r="K61" s="68" t="s">
        <v>2271</v>
      </c>
      <c r="L61" s="68" t="s">
        <v>2272</v>
      </c>
      <c r="M61" s="22" t="s">
        <v>107</v>
      </c>
      <c r="N61" s="85" t="s">
        <v>374</v>
      </c>
      <c r="O61" s="73" t="s">
        <v>1047</v>
      </c>
      <c r="P61" s="22" t="s">
        <v>1048</v>
      </c>
      <c r="Q61" s="22" t="s">
        <v>373</v>
      </c>
      <c r="R61" s="22">
        <v>11</v>
      </c>
      <c r="S61" s="21">
        <v>45</v>
      </c>
      <c r="T61" s="22">
        <v>17</v>
      </c>
      <c r="U61" s="21">
        <v>0</v>
      </c>
      <c r="V61" s="21">
        <v>5.5</v>
      </c>
      <c r="W61" s="33">
        <v>1.43</v>
      </c>
      <c r="X61" s="48">
        <v>2.8</v>
      </c>
      <c r="Y61" s="102">
        <v>4.2</v>
      </c>
      <c r="Z61" s="123">
        <v>0</v>
      </c>
      <c r="AA61" s="87">
        <v>56645649</v>
      </c>
      <c r="AB61" s="29">
        <v>173208900</v>
      </c>
      <c r="AC61" s="130">
        <v>122764136</v>
      </c>
      <c r="AD61" s="131">
        <v>0</v>
      </c>
      <c r="AE61" s="87">
        <f t="shared" si="1"/>
        <v>352618685</v>
      </c>
      <c r="AF61" s="30" t="s">
        <v>371</v>
      </c>
    </row>
    <row r="62" spans="1:32" ht="96.6" x14ac:dyDescent="0.3">
      <c r="A62" s="169"/>
      <c r="B62" s="170">
        <v>0</v>
      </c>
      <c r="C62" s="171"/>
      <c r="D62" s="171">
        <v>0</v>
      </c>
      <c r="E62" s="64">
        <v>1.8360000000000001</v>
      </c>
      <c r="F62" s="64">
        <v>1.9300000000000002</v>
      </c>
      <c r="G62" s="64">
        <v>2.0350000000000001</v>
      </c>
      <c r="H62" s="64">
        <f>1.839+0.8</f>
        <v>2.6390000000000002</v>
      </c>
      <c r="I62" s="64">
        <v>1.91</v>
      </c>
      <c r="J62" s="65">
        <v>54020010038</v>
      </c>
      <c r="K62" s="68" t="s">
        <v>2273</v>
      </c>
      <c r="L62" s="68" t="s">
        <v>2274</v>
      </c>
      <c r="M62" s="22" t="s">
        <v>107</v>
      </c>
      <c r="N62" s="85" t="s">
        <v>373</v>
      </c>
      <c r="O62" s="73" t="s">
        <v>507</v>
      </c>
      <c r="P62" s="22" t="s">
        <v>1049</v>
      </c>
      <c r="Q62" s="22" t="s">
        <v>373</v>
      </c>
      <c r="R62" s="22">
        <v>17</v>
      </c>
      <c r="S62" s="21">
        <v>45</v>
      </c>
      <c r="T62" s="22">
        <v>17</v>
      </c>
      <c r="U62" s="21">
        <v>11300560</v>
      </c>
      <c r="V62" s="21">
        <v>15300560</v>
      </c>
      <c r="W62" s="21">
        <v>11900560</v>
      </c>
      <c r="X62" s="21">
        <v>13100560</v>
      </c>
      <c r="Y62" s="94">
        <v>14300560</v>
      </c>
      <c r="Z62" s="116">
        <v>15300560</v>
      </c>
      <c r="AA62" s="87">
        <v>256209845</v>
      </c>
      <c r="AB62" s="29">
        <v>3270160784</v>
      </c>
      <c r="AC62" s="130">
        <v>869372672</v>
      </c>
      <c r="AD62" s="131">
        <v>453137096</v>
      </c>
      <c r="AE62" s="87">
        <f t="shared" si="1"/>
        <v>4848880397</v>
      </c>
      <c r="AF62" s="30" t="s">
        <v>361</v>
      </c>
    </row>
    <row r="63" spans="1:32" ht="82.8" x14ac:dyDescent="0.3">
      <c r="A63" s="169"/>
      <c r="B63" s="170">
        <v>0</v>
      </c>
      <c r="C63" s="171"/>
      <c r="D63" s="171">
        <v>0</v>
      </c>
      <c r="E63" s="64">
        <v>2.181</v>
      </c>
      <c r="F63" s="64">
        <v>3.0649999999999999</v>
      </c>
      <c r="G63" s="64">
        <v>4.1669999999999998</v>
      </c>
      <c r="H63" s="64">
        <f>3.664+1</f>
        <v>4.6639999999999997</v>
      </c>
      <c r="I63" s="64">
        <v>3.0190000000000001</v>
      </c>
      <c r="J63" s="65">
        <v>54020010039</v>
      </c>
      <c r="K63" s="68" t="s">
        <v>2275</v>
      </c>
      <c r="L63" s="68" t="s">
        <v>2276</v>
      </c>
      <c r="M63" s="22" t="s">
        <v>107</v>
      </c>
      <c r="N63" s="85" t="s">
        <v>373</v>
      </c>
      <c r="O63" s="73" t="s">
        <v>381</v>
      </c>
      <c r="P63" s="22" t="s">
        <v>1050</v>
      </c>
      <c r="Q63" s="22" t="s">
        <v>373</v>
      </c>
      <c r="R63" s="22">
        <v>17</v>
      </c>
      <c r="S63" s="21">
        <v>40</v>
      </c>
      <c r="T63" s="22">
        <v>7</v>
      </c>
      <c r="U63" s="21">
        <v>25831</v>
      </c>
      <c r="V63" s="21">
        <v>37231</v>
      </c>
      <c r="W63" s="21">
        <v>26781</v>
      </c>
      <c r="X63" s="21">
        <v>30264</v>
      </c>
      <c r="Y63" s="94">
        <v>33747</v>
      </c>
      <c r="Z63" s="116">
        <v>37231</v>
      </c>
      <c r="AA63" s="87">
        <v>668850390</v>
      </c>
      <c r="AB63" s="29">
        <v>1828654171</v>
      </c>
      <c r="AC63" s="130">
        <v>1962500000</v>
      </c>
      <c r="AD63" s="131">
        <v>1482361000</v>
      </c>
      <c r="AE63" s="87">
        <f t="shared" si="1"/>
        <v>5942365561</v>
      </c>
      <c r="AF63" s="30" t="s">
        <v>1140</v>
      </c>
    </row>
    <row r="64" spans="1:32" ht="130.5" customHeight="1" x14ac:dyDescent="0.3">
      <c r="A64" s="169"/>
      <c r="B64" s="170">
        <v>0</v>
      </c>
      <c r="C64" s="171"/>
      <c r="D64" s="171">
        <v>0</v>
      </c>
      <c r="E64" s="64">
        <v>0</v>
      </c>
      <c r="F64" s="64">
        <v>6.8339999999999996</v>
      </c>
      <c r="G64" s="64">
        <v>6.125</v>
      </c>
      <c r="H64" s="64">
        <f>8.367-2-1-1-1-1-1-1-0.367</f>
        <v>8.8817841970012523E-16</v>
      </c>
      <c r="I64" s="64">
        <v>5.3319999999999999</v>
      </c>
      <c r="J64" s="65">
        <v>54020010040</v>
      </c>
      <c r="K64" s="68" t="s">
        <v>2277</v>
      </c>
      <c r="L64" s="68" t="s">
        <v>2278</v>
      </c>
      <c r="M64" s="22" t="s">
        <v>107</v>
      </c>
      <c r="N64" s="85" t="s">
        <v>374</v>
      </c>
      <c r="O64" s="73" t="s">
        <v>486</v>
      </c>
      <c r="P64" s="22" t="s">
        <v>2451</v>
      </c>
      <c r="Q64" s="22" t="s">
        <v>374</v>
      </c>
      <c r="R64" s="22">
        <v>17</v>
      </c>
      <c r="S64" s="21">
        <v>45</v>
      </c>
      <c r="T64" s="22">
        <v>17</v>
      </c>
      <c r="U64" s="21">
        <v>0</v>
      </c>
      <c r="V64" s="21">
        <v>100</v>
      </c>
      <c r="W64" s="21">
        <v>0</v>
      </c>
      <c r="X64" s="21">
        <v>25</v>
      </c>
      <c r="Y64" s="94">
        <v>75</v>
      </c>
      <c r="Z64" s="116">
        <v>0</v>
      </c>
      <c r="AA64" s="87">
        <v>0</v>
      </c>
      <c r="AB64" s="29">
        <v>120000000</v>
      </c>
      <c r="AC64" s="130">
        <v>5540432000</v>
      </c>
      <c r="AD64" s="131">
        <v>0</v>
      </c>
      <c r="AE64" s="87">
        <f t="shared" si="1"/>
        <v>5660432000</v>
      </c>
      <c r="AF64" s="30" t="s">
        <v>361</v>
      </c>
    </row>
    <row r="65" spans="1:32" ht="69" x14ac:dyDescent="0.3">
      <c r="A65" s="169"/>
      <c r="B65" s="170">
        <v>0</v>
      </c>
      <c r="C65" s="171"/>
      <c r="D65" s="171">
        <v>0</v>
      </c>
      <c r="E65" s="64">
        <v>2.5350000000000001</v>
      </c>
      <c r="F65" s="64">
        <v>1.825</v>
      </c>
      <c r="G65" s="64">
        <v>1.87</v>
      </c>
      <c r="H65" s="64">
        <f>1.787+0.5</f>
        <v>2.2869999999999999</v>
      </c>
      <c r="I65" s="64">
        <v>2.004</v>
      </c>
      <c r="J65" s="65">
        <v>54020010041</v>
      </c>
      <c r="K65" s="68" t="s">
        <v>2279</v>
      </c>
      <c r="L65" s="68" t="s">
        <v>2280</v>
      </c>
      <c r="M65" s="86" t="s">
        <v>107</v>
      </c>
      <c r="N65" s="85" t="s">
        <v>373</v>
      </c>
      <c r="O65" s="73" t="s">
        <v>381</v>
      </c>
      <c r="P65" s="22" t="s">
        <v>1051</v>
      </c>
      <c r="Q65" s="22" t="s">
        <v>373</v>
      </c>
      <c r="R65" s="22">
        <v>17</v>
      </c>
      <c r="S65" s="21">
        <v>45</v>
      </c>
      <c r="T65" s="22">
        <v>17</v>
      </c>
      <c r="U65" s="21">
        <v>0</v>
      </c>
      <c r="V65" s="21">
        <v>1100</v>
      </c>
      <c r="W65" s="21">
        <v>200</v>
      </c>
      <c r="X65" s="21">
        <v>480</v>
      </c>
      <c r="Y65" s="94">
        <v>800</v>
      </c>
      <c r="Z65" s="116">
        <v>1100</v>
      </c>
      <c r="AA65" s="87">
        <v>164041013</v>
      </c>
      <c r="AB65" s="29">
        <v>345303530</v>
      </c>
      <c r="AC65" s="130">
        <v>470173638</v>
      </c>
      <c r="AD65" s="131">
        <v>541647680</v>
      </c>
      <c r="AE65" s="87">
        <f t="shared" si="1"/>
        <v>1521165861</v>
      </c>
      <c r="AF65" s="30" t="s">
        <v>1147</v>
      </c>
    </row>
    <row r="66" spans="1:32" ht="138" x14ac:dyDescent="0.3">
      <c r="A66" s="169"/>
      <c r="B66" s="170">
        <v>0</v>
      </c>
      <c r="C66" s="171"/>
      <c r="D66" s="171">
        <v>0</v>
      </c>
      <c r="E66" s="64">
        <v>6.12</v>
      </c>
      <c r="F66" s="64">
        <v>5.0880000000000001</v>
      </c>
      <c r="G66" s="64">
        <v>5.1139999999999999</v>
      </c>
      <c r="H66" s="64">
        <f>5.965-1</f>
        <v>4.9649999999999999</v>
      </c>
      <c r="I66" s="64">
        <v>5.5720000000000001</v>
      </c>
      <c r="J66" s="65">
        <v>54020010042</v>
      </c>
      <c r="K66" s="68" t="s">
        <v>2281</v>
      </c>
      <c r="L66" s="68" t="s">
        <v>2282</v>
      </c>
      <c r="M66" s="22" t="s">
        <v>107</v>
      </c>
      <c r="N66" s="85" t="s">
        <v>374</v>
      </c>
      <c r="O66" s="73" t="s">
        <v>419</v>
      </c>
      <c r="P66" s="22" t="s">
        <v>1052</v>
      </c>
      <c r="Q66" s="22" t="s">
        <v>374</v>
      </c>
      <c r="R66" s="22">
        <v>17</v>
      </c>
      <c r="S66" s="21">
        <v>12</v>
      </c>
      <c r="T66" s="22">
        <v>18</v>
      </c>
      <c r="U66" s="21">
        <v>0</v>
      </c>
      <c r="V66" s="21">
        <v>100</v>
      </c>
      <c r="W66" s="22">
        <v>25</v>
      </c>
      <c r="X66" s="22">
        <v>50</v>
      </c>
      <c r="Y66" s="101">
        <v>75</v>
      </c>
      <c r="Z66" s="125">
        <v>100</v>
      </c>
      <c r="AA66" s="87">
        <v>3291646543</v>
      </c>
      <c r="AB66" s="29">
        <v>2035193395</v>
      </c>
      <c r="AC66" s="130">
        <v>2521760000</v>
      </c>
      <c r="AD66" s="131">
        <v>1280030000</v>
      </c>
      <c r="AE66" s="87">
        <f t="shared" si="1"/>
        <v>9128629938</v>
      </c>
      <c r="AF66" s="30" t="s">
        <v>1148</v>
      </c>
    </row>
    <row r="67" spans="1:32" ht="41.4" x14ac:dyDescent="0.3">
      <c r="A67" s="169"/>
      <c r="B67" s="170">
        <v>0</v>
      </c>
      <c r="C67" s="171"/>
      <c r="D67" s="171">
        <v>0</v>
      </c>
      <c r="E67" s="64">
        <v>0</v>
      </c>
      <c r="F67" s="64">
        <f>3.734+2</f>
        <v>5.734</v>
      </c>
      <c r="G67" s="64">
        <v>4.6360000000000001</v>
      </c>
      <c r="H67" s="64">
        <v>4.3730000000000002</v>
      </c>
      <c r="I67" s="64">
        <v>2.9610000000000003</v>
      </c>
      <c r="J67" s="65">
        <v>54020010043</v>
      </c>
      <c r="K67" s="68" t="s">
        <v>2283</v>
      </c>
      <c r="L67" s="68" t="s">
        <v>2284</v>
      </c>
      <c r="M67" s="22" t="s">
        <v>144</v>
      </c>
      <c r="N67" s="85" t="s">
        <v>373</v>
      </c>
      <c r="O67" s="73" t="s">
        <v>381</v>
      </c>
      <c r="P67" s="22" t="s">
        <v>1053</v>
      </c>
      <c r="Q67" s="22" t="s">
        <v>373</v>
      </c>
      <c r="R67" s="22">
        <v>17</v>
      </c>
      <c r="S67" s="21">
        <v>24</v>
      </c>
      <c r="T67" s="22">
        <v>9</v>
      </c>
      <c r="U67" s="21">
        <v>0</v>
      </c>
      <c r="V67" s="21">
        <v>1</v>
      </c>
      <c r="W67" s="21">
        <v>0</v>
      </c>
      <c r="X67" s="21">
        <v>1</v>
      </c>
      <c r="Y67" s="94">
        <v>1</v>
      </c>
      <c r="Z67" s="116">
        <v>1</v>
      </c>
      <c r="AA67" s="87">
        <v>0</v>
      </c>
      <c r="AB67" s="29">
        <v>2970798842</v>
      </c>
      <c r="AC67" s="130">
        <v>3997236000</v>
      </c>
      <c r="AD67" s="29">
        <v>4330897200</v>
      </c>
      <c r="AE67" s="87">
        <f t="shared" si="1"/>
        <v>11298932042</v>
      </c>
      <c r="AF67" s="30" t="s">
        <v>362</v>
      </c>
    </row>
    <row r="68" spans="1:32" ht="55.2" x14ac:dyDescent="0.3">
      <c r="A68" s="169"/>
      <c r="B68" s="170">
        <v>0</v>
      </c>
      <c r="C68" s="171"/>
      <c r="D68" s="171">
        <v>0</v>
      </c>
      <c r="E68" s="64">
        <v>0</v>
      </c>
      <c r="F68" s="64">
        <v>0</v>
      </c>
      <c r="G68" s="64">
        <v>1.8640000000000001</v>
      </c>
      <c r="H68" s="64">
        <v>1.6549999999999998</v>
      </c>
      <c r="I68" s="64">
        <v>1.3299999999999998</v>
      </c>
      <c r="J68" s="65">
        <v>54020010044</v>
      </c>
      <c r="K68" s="68" t="s">
        <v>2285</v>
      </c>
      <c r="L68" s="68" t="s">
        <v>2286</v>
      </c>
      <c r="M68" s="22" t="s">
        <v>144</v>
      </c>
      <c r="N68" s="85" t="s">
        <v>373</v>
      </c>
      <c r="O68" s="73" t="s">
        <v>381</v>
      </c>
      <c r="P68" s="22" t="s">
        <v>1054</v>
      </c>
      <c r="Q68" s="22" t="s">
        <v>373</v>
      </c>
      <c r="R68" s="22">
        <v>17</v>
      </c>
      <c r="S68" s="21">
        <v>45</v>
      </c>
      <c r="T68" s="22">
        <v>17</v>
      </c>
      <c r="U68" s="21">
        <v>0</v>
      </c>
      <c r="V68" s="21">
        <v>1</v>
      </c>
      <c r="W68" s="21">
        <v>0</v>
      </c>
      <c r="X68" s="21">
        <v>0</v>
      </c>
      <c r="Y68" s="94">
        <v>1</v>
      </c>
      <c r="Z68" s="116">
        <v>1</v>
      </c>
      <c r="AA68" s="87">
        <v>0</v>
      </c>
      <c r="AB68" s="29">
        <v>0</v>
      </c>
      <c r="AC68" s="130">
        <v>600000000</v>
      </c>
      <c r="AD68" s="131">
        <v>200000000</v>
      </c>
      <c r="AE68" s="87">
        <f t="shared" si="1"/>
        <v>800000000</v>
      </c>
      <c r="AF68" s="30" t="s">
        <v>1145</v>
      </c>
    </row>
    <row r="69" spans="1:32" ht="55.2" x14ac:dyDescent="0.3">
      <c r="A69" s="169"/>
      <c r="B69" s="170">
        <v>0</v>
      </c>
      <c r="C69" s="171"/>
      <c r="D69" s="171">
        <v>0</v>
      </c>
      <c r="E69" s="64">
        <v>5.7549999999999999</v>
      </c>
      <c r="F69" s="64">
        <v>4.234</v>
      </c>
      <c r="G69" s="64">
        <v>3.7080000000000002</v>
      </c>
      <c r="H69" s="64">
        <f>3.499+1</f>
        <v>4.4990000000000006</v>
      </c>
      <c r="I69" s="64">
        <v>4.0739999999999998</v>
      </c>
      <c r="J69" s="65">
        <v>54020010045</v>
      </c>
      <c r="K69" s="68" t="s">
        <v>2287</v>
      </c>
      <c r="L69" s="68" t="s">
        <v>2288</v>
      </c>
      <c r="M69" s="22" t="s">
        <v>144</v>
      </c>
      <c r="N69" s="85" t="s">
        <v>373</v>
      </c>
      <c r="O69" s="73" t="s">
        <v>381</v>
      </c>
      <c r="P69" s="22" t="s">
        <v>1055</v>
      </c>
      <c r="Q69" s="22" t="s">
        <v>373</v>
      </c>
      <c r="R69" s="22">
        <v>17</v>
      </c>
      <c r="S69" s="21">
        <v>45</v>
      </c>
      <c r="T69" s="22">
        <v>14</v>
      </c>
      <c r="U69" s="21">
        <v>0</v>
      </c>
      <c r="V69" s="21">
        <v>1</v>
      </c>
      <c r="W69" s="21">
        <v>1</v>
      </c>
      <c r="X69" s="21">
        <v>1</v>
      </c>
      <c r="Y69" s="94">
        <v>1</v>
      </c>
      <c r="Z69" s="116">
        <v>1</v>
      </c>
      <c r="AA69" s="87">
        <v>1764767622</v>
      </c>
      <c r="AB69" s="29">
        <v>2100000000</v>
      </c>
      <c r="AC69" s="130">
        <v>2500000000</v>
      </c>
      <c r="AD69" s="131">
        <v>1500000000</v>
      </c>
      <c r="AE69" s="87">
        <f t="shared" si="1"/>
        <v>7864767622</v>
      </c>
      <c r="AF69" s="30" t="s">
        <v>370</v>
      </c>
    </row>
    <row r="70" spans="1:32" ht="82.8" x14ac:dyDescent="0.3">
      <c r="A70" s="169"/>
      <c r="B70" s="170">
        <v>0</v>
      </c>
      <c r="C70" s="171"/>
      <c r="D70" s="171">
        <v>0</v>
      </c>
      <c r="E70" s="64">
        <v>0</v>
      </c>
      <c r="F70" s="64">
        <v>1.2170000000000001</v>
      </c>
      <c r="G70" s="64">
        <v>1.216</v>
      </c>
      <c r="H70" s="64">
        <f>2.184-0.8</f>
        <v>1.3840000000000001</v>
      </c>
      <c r="I70" s="64">
        <v>1.1539999999999999</v>
      </c>
      <c r="J70" s="65">
        <v>54020010046</v>
      </c>
      <c r="K70" s="68" t="s">
        <v>2289</v>
      </c>
      <c r="L70" s="68" t="s">
        <v>2290</v>
      </c>
      <c r="M70" s="22" t="s">
        <v>107</v>
      </c>
      <c r="N70" s="85" t="s">
        <v>380</v>
      </c>
      <c r="O70" s="73" t="s">
        <v>381</v>
      </c>
      <c r="P70" s="22" t="s">
        <v>1056</v>
      </c>
      <c r="Q70" s="22" t="s">
        <v>380</v>
      </c>
      <c r="R70" s="22">
        <v>17</v>
      </c>
      <c r="S70" s="21">
        <v>45</v>
      </c>
      <c r="T70" s="22">
        <v>17</v>
      </c>
      <c r="U70" s="21">
        <v>2972108</v>
      </c>
      <c r="V70" s="21">
        <v>118885</v>
      </c>
      <c r="W70" s="21">
        <v>0</v>
      </c>
      <c r="X70" s="21">
        <v>39628</v>
      </c>
      <c r="Y70" s="94">
        <v>79256</v>
      </c>
      <c r="Z70" s="116">
        <v>118885</v>
      </c>
      <c r="AA70" s="87">
        <v>0</v>
      </c>
      <c r="AB70" s="29">
        <v>60000000</v>
      </c>
      <c r="AC70" s="130">
        <v>34304000</v>
      </c>
      <c r="AD70" s="131">
        <v>54028800</v>
      </c>
      <c r="AE70" s="87">
        <f t="shared" si="1"/>
        <v>148332800</v>
      </c>
      <c r="AF70" s="30" t="s">
        <v>361</v>
      </c>
    </row>
    <row r="71" spans="1:32" ht="63.75" customHeight="1" x14ac:dyDescent="0.3">
      <c r="A71" s="169"/>
      <c r="B71" s="170">
        <v>0</v>
      </c>
      <c r="C71" s="171" t="s">
        <v>2291</v>
      </c>
      <c r="D71" s="171">
        <v>17.566000000000003</v>
      </c>
      <c r="E71" s="64">
        <v>6.1029999999999998</v>
      </c>
      <c r="F71" s="64">
        <v>3.7909999999999999</v>
      </c>
      <c r="G71" s="64">
        <v>3.3980000000000001</v>
      </c>
      <c r="H71" s="64">
        <v>5.72</v>
      </c>
      <c r="I71" s="64">
        <v>4.774</v>
      </c>
      <c r="J71" s="65">
        <v>54020020001</v>
      </c>
      <c r="K71" s="68" t="s">
        <v>2292</v>
      </c>
      <c r="L71" s="68" t="s">
        <v>2293</v>
      </c>
      <c r="M71" s="22" t="s">
        <v>144</v>
      </c>
      <c r="N71" s="85" t="s">
        <v>373</v>
      </c>
      <c r="O71" s="73" t="s">
        <v>408</v>
      </c>
      <c r="P71" s="22" t="s">
        <v>1057</v>
      </c>
      <c r="Q71" s="22" t="s">
        <v>373</v>
      </c>
      <c r="R71" s="22">
        <v>17</v>
      </c>
      <c r="S71" s="21">
        <v>4</v>
      </c>
      <c r="T71" s="22">
        <v>17</v>
      </c>
      <c r="U71" s="21">
        <v>38</v>
      </c>
      <c r="V71" s="21">
        <v>38</v>
      </c>
      <c r="W71" s="21">
        <v>38</v>
      </c>
      <c r="X71" s="21">
        <v>38</v>
      </c>
      <c r="Y71" s="94">
        <v>38</v>
      </c>
      <c r="Z71" s="116">
        <v>38</v>
      </c>
      <c r="AA71" s="87">
        <v>946456050</v>
      </c>
      <c r="AB71" s="29">
        <v>590525000</v>
      </c>
      <c r="AC71" s="130">
        <v>111530000</v>
      </c>
      <c r="AD71" s="29">
        <v>45486000</v>
      </c>
      <c r="AE71" s="87">
        <f t="shared" si="1"/>
        <v>1693997050</v>
      </c>
      <c r="AF71" s="30" t="s">
        <v>363</v>
      </c>
    </row>
    <row r="72" spans="1:32" ht="69" x14ac:dyDescent="0.3">
      <c r="A72" s="169"/>
      <c r="B72" s="170">
        <v>0</v>
      </c>
      <c r="C72" s="171"/>
      <c r="D72" s="171">
        <v>0</v>
      </c>
      <c r="E72" s="64">
        <v>4.1909999999999998</v>
      </c>
      <c r="F72" s="64">
        <v>3.7470000000000003</v>
      </c>
      <c r="G72" s="64">
        <v>3.1989999999999998</v>
      </c>
      <c r="H72" s="64">
        <v>3.2520000000000002</v>
      </c>
      <c r="I72" s="64">
        <v>3.3740000000000001</v>
      </c>
      <c r="J72" s="65">
        <v>54020020002</v>
      </c>
      <c r="K72" s="68" t="s">
        <v>2294</v>
      </c>
      <c r="L72" s="68" t="s">
        <v>2295</v>
      </c>
      <c r="M72" s="22" t="s">
        <v>144</v>
      </c>
      <c r="N72" s="85" t="s">
        <v>373</v>
      </c>
      <c r="O72" s="73" t="s">
        <v>408</v>
      </c>
      <c r="P72" s="22" t="s">
        <v>1058</v>
      </c>
      <c r="Q72" s="22" t="s">
        <v>373</v>
      </c>
      <c r="R72" s="22">
        <v>17</v>
      </c>
      <c r="S72" s="21">
        <v>4</v>
      </c>
      <c r="T72" s="22">
        <v>17</v>
      </c>
      <c r="U72" s="21">
        <v>38</v>
      </c>
      <c r="V72" s="21">
        <v>38</v>
      </c>
      <c r="W72" s="21">
        <v>38</v>
      </c>
      <c r="X72" s="21">
        <v>38</v>
      </c>
      <c r="Y72" s="94">
        <v>38</v>
      </c>
      <c r="Z72" s="116">
        <v>38</v>
      </c>
      <c r="AA72" s="87">
        <v>339739657</v>
      </c>
      <c r="AB72" s="29">
        <v>768170860</v>
      </c>
      <c r="AC72" s="130">
        <v>229171666</v>
      </c>
      <c r="AD72" s="29">
        <v>937040000</v>
      </c>
      <c r="AE72" s="87">
        <f t="shared" si="1"/>
        <v>2274122183</v>
      </c>
      <c r="AF72" s="30" t="s">
        <v>363</v>
      </c>
    </row>
    <row r="73" spans="1:32" ht="27.6" x14ac:dyDescent="0.3">
      <c r="A73" s="169"/>
      <c r="B73" s="170">
        <v>0</v>
      </c>
      <c r="C73" s="171"/>
      <c r="D73" s="171">
        <v>0</v>
      </c>
      <c r="E73" s="64">
        <v>0</v>
      </c>
      <c r="F73" s="64">
        <v>3.1379999999999999</v>
      </c>
      <c r="G73" s="64">
        <v>3.6790000000000003</v>
      </c>
      <c r="H73" s="64">
        <v>3.7229999999999999</v>
      </c>
      <c r="I73" s="64">
        <v>2.6349999999999998</v>
      </c>
      <c r="J73" s="65">
        <v>54020020003</v>
      </c>
      <c r="K73" s="68" t="s">
        <v>2296</v>
      </c>
      <c r="L73" s="68" t="s">
        <v>2297</v>
      </c>
      <c r="M73" s="22" t="s">
        <v>107</v>
      </c>
      <c r="N73" s="85" t="s">
        <v>373</v>
      </c>
      <c r="O73" s="73" t="s">
        <v>381</v>
      </c>
      <c r="P73" s="22" t="s">
        <v>1059</v>
      </c>
      <c r="Q73" s="22" t="s">
        <v>373</v>
      </c>
      <c r="R73" s="22">
        <v>17</v>
      </c>
      <c r="S73" s="21">
        <v>4</v>
      </c>
      <c r="T73" s="22">
        <v>17</v>
      </c>
      <c r="U73" s="21">
        <v>0</v>
      </c>
      <c r="V73" s="21">
        <v>3</v>
      </c>
      <c r="W73" s="21">
        <v>0</v>
      </c>
      <c r="X73" s="21">
        <v>1</v>
      </c>
      <c r="Y73" s="94">
        <v>2</v>
      </c>
      <c r="Z73" s="116">
        <v>3</v>
      </c>
      <c r="AA73" s="87">
        <v>0</v>
      </c>
      <c r="AB73" s="29">
        <v>169000000</v>
      </c>
      <c r="AC73" s="130">
        <v>250000000</v>
      </c>
      <c r="AD73" s="29">
        <v>299712000</v>
      </c>
      <c r="AE73" s="87">
        <f t="shared" si="1"/>
        <v>718712000</v>
      </c>
      <c r="AF73" s="30" t="s">
        <v>363</v>
      </c>
    </row>
    <row r="74" spans="1:32" ht="55.2" x14ac:dyDescent="0.3">
      <c r="A74" s="169"/>
      <c r="B74" s="170">
        <v>0</v>
      </c>
      <c r="C74" s="171"/>
      <c r="D74" s="171">
        <v>0</v>
      </c>
      <c r="E74" s="64">
        <v>11.324</v>
      </c>
      <c r="F74" s="64">
        <f>11.882+2</f>
        <v>13.882</v>
      </c>
      <c r="G74" s="64">
        <f>10.494+2</f>
        <v>12.494</v>
      </c>
      <c r="H74" s="64">
        <f>10.628-2.5</f>
        <v>8.1280000000000001</v>
      </c>
      <c r="I74" s="64">
        <v>12.027000000000001</v>
      </c>
      <c r="J74" s="65">
        <v>54020020004</v>
      </c>
      <c r="K74" s="68" t="s">
        <v>2298</v>
      </c>
      <c r="L74" s="68" t="s">
        <v>2299</v>
      </c>
      <c r="M74" s="22" t="s">
        <v>144</v>
      </c>
      <c r="N74" s="85" t="s">
        <v>374</v>
      </c>
      <c r="O74" s="73" t="s">
        <v>507</v>
      </c>
      <c r="P74" s="22" t="s">
        <v>1060</v>
      </c>
      <c r="Q74" s="22" t="s">
        <v>373</v>
      </c>
      <c r="R74" s="22">
        <v>17</v>
      </c>
      <c r="S74" s="21">
        <v>45</v>
      </c>
      <c r="T74" s="22">
        <v>17</v>
      </c>
      <c r="U74" s="21">
        <v>95</v>
      </c>
      <c r="V74" s="21">
        <v>95</v>
      </c>
      <c r="W74" s="21">
        <v>95</v>
      </c>
      <c r="X74" s="21">
        <v>95</v>
      </c>
      <c r="Y74" s="94">
        <v>95</v>
      </c>
      <c r="Z74" s="116">
        <v>95</v>
      </c>
      <c r="AA74" s="87">
        <v>3307057625</v>
      </c>
      <c r="AB74" s="29">
        <v>4734082178</v>
      </c>
      <c r="AC74" s="130">
        <v>7000000000</v>
      </c>
      <c r="AD74" s="29">
        <v>7000000000</v>
      </c>
      <c r="AE74" s="87">
        <f t="shared" si="1"/>
        <v>22041139803</v>
      </c>
      <c r="AF74" s="30" t="s">
        <v>363</v>
      </c>
    </row>
    <row r="75" spans="1:32" ht="41.4" x14ac:dyDescent="0.3">
      <c r="A75" s="169"/>
      <c r="B75" s="170">
        <v>0</v>
      </c>
      <c r="C75" s="171"/>
      <c r="D75" s="171">
        <v>0</v>
      </c>
      <c r="E75" s="64">
        <v>4.0659999999999998</v>
      </c>
      <c r="F75" s="64">
        <v>3.1669999999999998</v>
      </c>
      <c r="G75" s="64">
        <v>3.9039999999999999</v>
      </c>
      <c r="H75" s="64">
        <v>3.9919999999999995</v>
      </c>
      <c r="I75" s="64">
        <v>4.2939999999999996</v>
      </c>
      <c r="J75" s="65">
        <v>54020020005</v>
      </c>
      <c r="K75" s="68" t="s">
        <v>2300</v>
      </c>
      <c r="L75" s="68" t="s">
        <v>2301</v>
      </c>
      <c r="M75" s="22" t="s">
        <v>107</v>
      </c>
      <c r="N75" s="85" t="s">
        <v>373</v>
      </c>
      <c r="O75" s="73" t="s">
        <v>381</v>
      </c>
      <c r="P75" s="22" t="s">
        <v>1061</v>
      </c>
      <c r="Q75" s="22" t="s">
        <v>373</v>
      </c>
      <c r="R75" s="22">
        <v>17</v>
      </c>
      <c r="S75" s="21">
        <v>4</v>
      </c>
      <c r="T75" s="22">
        <v>17</v>
      </c>
      <c r="U75" s="21">
        <v>55</v>
      </c>
      <c r="V75" s="21">
        <v>87</v>
      </c>
      <c r="W75" s="21">
        <v>57</v>
      </c>
      <c r="X75" s="21">
        <v>70</v>
      </c>
      <c r="Y75" s="94">
        <v>70</v>
      </c>
      <c r="Z75" s="116">
        <v>87</v>
      </c>
      <c r="AA75" s="87">
        <v>320400000</v>
      </c>
      <c r="AB75" s="29">
        <v>522000000</v>
      </c>
      <c r="AC75" s="130">
        <v>323133000</v>
      </c>
      <c r="AD75" s="29">
        <v>483664000</v>
      </c>
      <c r="AE75" s="87">
        <f t="shared" si="1"/>
        <v>1649197000</v>
      </c>
      <c r="AF75" s="30" t="s">
        <v>363</v>
      </c>
    </row>
    <row r="76" spans="1:32" ht="41.4" x14ac:dyDescent="0.3">
      <c r="A76" s="169"/>
      <c r="B76" s="170">
        <v>0</v>
      </c>
      <c r="C76" s="171"/>
      <c r="D76" s="171">
        <v>0</v>
      </c>
      <c r="E76" s="64">
        <v>3.3109999999999999</v>
      </c>
      <c r="F76" s="64">
        <v>4.375</v>
      </c>
      <c r="G76" s="64">
        <v>3.2079999999999997</v>
      </c>
      <c r="H76" s="64">
        <v>3.2640000000000002</v>
      </c>
      <c r="I76" s="64">
        <v>3.9550000000000001</v>
      </c>
      <c r="J76" s="65">
        <v>54020020006</v>
      </c>
      <c r="K76" s="68" t="s">
        <v>2302</v>
      </c>
      <c r="L76" s="68" t="s">
        <v>2303</v>
      </c>
      <c r="M76" s="22" t="s">
        <v>144</v>
      </c>
      <c r="N76" s="85" t="s">
        <v>374</v>
      </c>
      <c r="O76" s="73" t="s">
        <v>507</v>
      </c>
      <c r="P76" s="22" t="s">
        <v>1062</v>
      </c>
      <c r="Q76" s="22" t="s">
        <v>373</v>
      </c>
      <c r="R76" s="22">
        <v>17</v>
      </c>
      <c r="S76" s="21">
        <v>4</v>
      </c>
      <c r="T76" s="22">
        <v>17</v>
      </c>
      <c r="U76" s="21">
        <v>100</v>
      </c>
      <c r="V76" s="21">
        <v>100</v>
      </c>
      <c r="W76" s="21">
        <v>100</v>
      </c>
      <c r="X76" s="21">
        <v>100</v>
      </c>
      <c r="Y76" s="94">
        <v>100</v>
      </c>
      <c r="Z76" s="116">
        <v>100</v>
      </c>
      <c r="AA76" s="87">
        <v>203300000</v>
      </c>
      <c r="AB76" s="29">
        <v>226000000</v>
      </c>
      <c r="AC76" s="130">
        <v>250000000</v>
      </c>
      <c r="AD76" s="29">
        <v>254364000</v>
      </c>
      <c r="AE76" s="87">
        <f t="shared" si="1"/>
        <v>933664000</v>
      </c>
      <c r="AF76" s="30" t="s">
        <v>363</v>
      </c>
    </row>
    <row r="77" spans="1:32" ht="55.2" x14ac:dyDescent="0.3">
      <c r="A77" s="169"/>
      <c r="B77" s="170">
        <v>0</v>
      </c>
      <c r="C77" s="171"/>
      <c r="D77" s="171">
        <v>0</v>
      </c>
      <c r="E77" s="64">
        <v>3.1970000000000001</v>
      </c>
      <c r="F77" s="64">
        <f>3.766-2-1.766</f>
        <v>0</v>
      </c>
      <c r="G77" s="64">
        <v>3.1029999999999998</v>
      </c>
      <c r="H77" s="64">
        <v>3.1550000000000002</v>
      </c>
      <c r="I77" s="64">
        <v>3.7060000000000004</v>
      </c>
      <c r="J77" s="65">
        <v>54020020007</v>
      </c>
      <c r="K77" s="68" t="s">
        <v>2304</v>
      </c>
      <c r="L77" s="68" t="s">
        <v>2305</v>
      </c>
      <c r="M77" s="22" t="s">
        <v>144</v>
      </c>
      <c r="N77" s="85" t="s">
        <v>373</v>
      </c>
      <c r="O77" s="73" t="s">
        <v>381</v>
      </c>
      <c r="P77" s="22" t="s">
        <v>1063</v>
      </c>
      <c r="Q77" s="22" t="s">
        <v>373</v>
      </c>
      <c r="R77" s="22">
        <v>17</v>
      </c>
      <c r="S77" s="21">
        <v>4</v>
      </c>
      <c r="T77" s="22">
        <v>17</v>
      </c>
      <c r="U77" s="21">
        <v>3</v>
      </c>
      <c r="V77" s="21">
        <v>3</v>
      </c>
      <c r="W77" s="21">
        <v>3</v>
      </c>
      <c r="X77" s="21">
        <v>0</v>
      </c>
      <c r="Y77" s="94">
        <v>3</v>
      </c>
      <c r="Z77" s="116">
        <v>3</v>
      </c>
      <c r="AA77" s="87">
        <v>185624000</v>
      </c>
      <c r="AB77" s="29">
        <v>0</v>
      </c>
      <c r="AC77" s="130">
        <v>250000000</v>
      </c>
      <c r="AD77" s="29">
        <v>546792669</v>
      </c>
      <c r="AE77" s="87">
        <f t="shared" si="1"/>
        <v>982416669</v>
      </c>
      <c r="AF77" s="30" t="s">
        <v>363</v>
      </c>
    </row>
    <row r="78" spans="1:32" ht="41.4" x14ac:dyDescent="0.3">
      <c r="A78" s="169"/>
      <c r="B78" s="170">
        <v>0</v>
      </c>
      <c r="C78" s="171"/>
      <c r="D78" s="171">
        <v>0</v>
      </c>
      <c r="E78" s="64">
        <v>6.141</v>
      </c>
      <c r="F78" s="64">
        <v>4.9489999999999998</v>
      </c>
      <c r="G78" s="64">
        <v>4.258</v>
      </c>
      <c r="H78" s="64">
        <v>4.3620000000000001</v>
      </c>
      <c r="I78" s="64">
        <v>5.327</v>
      </c>
      <c r="J78" s="65">
        <v>54020020008</v>
      </c>
      <c r="K78" s="68" t="s">
        <v>2306</v>
      </c>
      <c r="L78" s="68" t="s">
        <v>2307</v>
      </c>
      <c r="M78" s="22" t="s">
        <v>144</v>
      </c>
      <c r="N78" s="85" t="s">
        <v>374</v>
      </c>
      <c r="O78" s="73" t="s">
        <v>507</v>
      </c>
      <c r="P78" s="22" t="s">
        <v>1064</v>
      </c>
      <c r="Q78" s="22" t="s">
        <v>373</v>
      </c>
      <c r="R78" s="22">
        <v>17</v>
      </c>
      <c r="S78" s="21">
        <v>4</v>
      </c>
      <c r="T78" s="22">
        <v>17</v>
      </c>
      <c r="U78" s="21">
        <v>100</v>
      </c>
      <c r="V78" s="21">
        <v>100</v>
      </c>
      <c r="W78" s="21">
        <v>100</v>
      </c>
      <c r="X78" s="21">
        <v>100</v>
      </c>
      <c r="Y78" s="94">
        <v>100</v>
      </c>
      <c r="Z78" s="116">
        <v>100</v>
      </c>
      <c r="AA78" s="87">
        <v>797289000</v>
      </c>
      <c r="AB78" s="29">
        <v>518438000</v>
      </c>
      <c r="AC78" s="130">
        <v>623224259</v>
      </c>
      <c r="AD78" s="29">
        <v>511429689</v>
      </c>
      <c r="AE78" s="87">
        <f t="shared" si="1"/>
        <v>2450380948</v>
      </c>
      <c r="AF78" s="30" t="s">
        <v>363</v>
      </c>
    </row>
    <row r="79" spans="1:32" ht="69" x14ac:dyDescent="0.3">
      <c r="A79" s="169"/>
      <c r="B79" s="170">
        <v>0</v>
      </c>
      <c r="C79" s="171"/>
      <c r="D79" s="171">
        <v>0</v>
      </c>
      <c r="E79" s="64">
        <v>4.6150000000000002</v>
      </c>
      <c r="F79" s="64">
        <v>5.3220000000000001</v>
      </c>
      <c r="G79" s="64">
        <v>4.72</v>
      </c>
      <c r="H79" s="64">
        <v>4.9849999999999994</v>
      </c>
      <c r="I79" s="64">
        <v>5.2409999999999997</v>
      </c>
      <c r="J79" s="65">
        <v>54020020009</v>
      </c>
      <c r="K79" s="68" t="s">
        <v>2308</v>
      </c>
      <c r="L79" s="68" t="s">
        <v>2309</v>
      </c>
      <c r="M79" s="22" t="s">
        <v>107</v>
      </c>
      <c r="N79" s="85" t="s">
        <v>374</v>
      </c>
      <c r="O79" s="73" t="s">
        <v>507</v>
      </c>
      <c r="P79" s="22" t="s">
        <v>1065</v>
      </c>
      <c r="Q79" s="22" t="s">
        <v>373</v>
      </c>
      <c r="R79" s="22">
        <v>11</v>
      </c>
      <c r="S79" s="21">
        <v>33</v>
      </c>
      <c r="T79" s="22">
        <v>5</v>
      </c>
      <c r="U79" s="21">
        <v>100</v>
      </c>
      <c r="V79" s="21">
        <v>100</v>
      </c>
      <c r="W79" s="48">
        <v>76</v>
      </c>
      <c r="X79" s="48">
        <v>90.1</v>
      </c>
      <c r="Y79" s="102">
        <v>95.1</v>
      </c>
      <c r="Z79" s="116">
        <v>100</v>
      </c>
      <c r="AA79" s="87">
        <v>405600000</v>
      </c>
      <c r="AB79" s="29">
        <v>704115905</v>
      </c>
      <c r="AC79" s="130">
        <v>144084000</v>
      </c>
      <c r="AD79" s="29">
        <v>95276000</v>
      </c>
      <c r="AE79" s="87">
        <f t="shared" si="1"/>
        <v>1349075905</v>
      </c>
      <c r="AF79" s="30" t="s">
        <v>363</v>
      </c>
    </row>
    <row r="80" spans="1:32" ht="110.4" x14ac:dyDescent="0.3">
      <c r="A80" s="169"/>
      <c r="B80" s="170">
        <v>0</v>
      </c>
      <c r="C80" s="171"/>
      <c r="D80" s="171">
        <v>0</v>
      </c>
      <c r="E80" s="64">
        <v>0</v>
      </c>
      <c r="F80" s="64">
        <f>3.915-3.915</f>
        <v>0</v>
      </c>
      <c r="G80" s="64">
        <v>3.3220000000000001</v>
      </c>
      <c r="H80" s="64">
        <v>3.5659999999999998</v>
      </c>
      <c r="I80" s="64">
        <v>2.7010000000000001</v>
      </c>
      <c r="J80" s="65">
        <v>54020020010</v>
      </c>
      <c r="K80" s="68" t="s">
        <v>2310</v>
      </c>
      <c r="L80" s="68" t="s">
        <v>2311</v>
      </c>
      <c r="M80" s="22" t="s">
        <v>107</v>
      </c>
      <c r="N80" s="85" t="s">
        <v>373</v>
      </c>
      <c r="O80" s="73" t="s">
        <v>408</v>
      </c>
      <c r="P80" s="22" t="s">
        <v>1066</v>
      </c>
      <c r="Q80" s="22" t="s">
        <v>373</v>
      </c>
      <c r="R80" s="22">
        <v>17</v>
      </c>
      <c r="S80" s="21">
        <v>4</v>
      </c>
      <c r="T80" s="22">
        <v>17</v>
      </c>
      <c r="U80" s="21">
        <v>364</v>
      </c>
      <c r="V80" s="21">
        <v>500</v>
      </c>
      <c r="W80" s="21">
        <v>0</v>
      </c>
      <c r="X80" s="21">
        <v>0</v>
      </c>
      <c r="Y80" s="94">
        <v>412</v>
      </c>
      <c r="Z80" s="116">
        <v>500</v>
      </c>
      <c r="AA80" s="87">
        <v>0</v>
      </c>
      <c r="AB80" s="29">
        <v>0</v>
      </c>
      <c r="AC80" s="130">
        <v>75000000</v>
      </c>
      <c r="AD80" s="29">
        <v>37680000</v>
      </c>
      <c r="AE80" s="87">
        <f t="shared" si="1"/>
        <v>112680000</v>
      </c>
      <c r="AF80" s="30" t="s">
        <v>363</v>
      </c>
    </row>
    <row r="81" spans="1:32" ht="41.4" x14ac:dyDescent="0.3">
      <c r="A81" s="169"/>
      <c r="B81" s="170">
        <v>0</v>
      </c>
      <c r="C81" s="171"/>
      <c r="D81" s="171">
        <v>0</v>
      </c>
      <c r="E81" s="64">
        <v>3.2839999999999998</v>
      </c>
      <c r="F81" s="64">
        <v>2.37</v>
      </c>
      <c r="G81" s="64">
        <v>2.3239999999999998</v>
      </c>
      <c r="H81" s="64">
        <v>2.3439999999999999</v>
      </c>
      <c r="I81" s="64">
        <v>2.8660000000000001</v>
      </c>
      <c r="J81" s="65">
        <v>54020020011</v>
      </c>
      <c r="K81" s="68" t="s">
        <v>2312</v>
      </c>
      <c r="L81" s="68" t="s">
        <v>2313</v>
      </c>
      <c r="M81" s="22" t="s">
        <v>107</v>
      </c>
      <c r="N81" s="85" t="s">
        <v>374</v>
      </c>
      <c r="O81" s="73" t="s">
        <v>1067</v>
      </c>
      <c r="P81" s="22" t="s">
        <v>1068</v>
      </c>
      <c r="Q81" s="22" t="s">
        <v>373</v>
      </c>
      <c r="R81" s="22">
        <v>17</v>
      </c>
      <c r="S81" s="21">
        <v>35</v>
      </c>
      <c r="T81" s="22">
        <v>13</v>
      </c>
      <c r="U81" s="21">
        <v>0</v>
      </c>
      <c r="V81" s="21">
        <v>100</v>
      </c>
      <c r="W81" s="21">
        <v>20</v>
      </c>
      <c r="X81" s="21">
        <v>50</v>
      </c>
      <c r="Y81" s="94">
        <v>80</v>
      </c>
      <c r="Z81" s="116">
        <v>100</v>
      </c>
      <c r="AA81" s="87">
        <v>44000000</v>
      </c>
      <c r="AB81" s="29">
        <v>57760000</v>
      </c>
      <c r="AC81" s="130">
        <v>122467440</v>
      </c>
      <c r="AD81" s="131">
        <v>85921000</v>
      </c>
      <c r="AE81" s="87">
        <f t="shared" si="1"/>
        <v>310148440</v>
      </c>
      <c r="AF81" s="30" t="s">
        <v>357</v>
      </c>
    </row>
    <row r="82" spans="1:32" ht="41.4" x14ac:dyDescent="0.3">
      <c r="A82" s="169"/>
      <c r="B82" s="170">
        <v>0</v>
      </c>
      <c r="C82" s="171"/>
      <c r="D82" s="171">
        <v>0</v>
      </c>
      <c r="E82" s="64">
        <v>0</v>
      </c>
      <c r="F82" s="64">
        <v>2.9250000000000003</v>
      </c>
      <c r="G82" s="64">
        <v>2.806</v>
      </c>
      <c r="H82" s="64">
        <v>2.8359999999999999</v>
      </c>
      <c r="I82" s="64">
        <v>2.1420000000000003</v>
      </c>
      <c r="J82" s="65">
        <v>54020020012</v>
      </c>
      <c r="K82" s="68" t="s">
        <v>2314</v>
      </c>
      <c r="L82" s="68" t="s">
        <v>2315</v>
      </c>
      <c r="M82" s="22" t="s">
        <v>107</v>
      </c>
      <c r="N82" s="85" t="s">
        <v>373</v>
      </c>
      <c r="O82" s="73" t="s">
        <v>381</v>
      </c>
      <c r="P82" s="22" t="s">
        <v>1069</v>
      </c>
      <c r="Q82" s="22" t="s">
        <v>373</v>
      </c>
      <c r="R82" s="22">
        <v>17</v>
      </c>
      <c r="S82" s="21">
        <v>35</v>
      </c>
      <c r="T82" s="22">
        <v>13</v>
      </c>
      <c r="U82" s="21">
        <v>0</v>
      </c>
      <c r="V82" s="21">
        <v>8</v>
      </c>
      <c r="W82" s="21">
        <v>0</v>
      </c>
      <c r="X82" s="21">
        <v>3</v>
      </c>
      <c r="Y82" s="94">
        <v>6</v>
      </c>
      <c r="Z82" s="116">
        <v>8</v>
      </c>
      <c r="AA82" s="87">
        <v>0</v>
      </c>
      <c r="AB82" s="29">
        <v>145000000</v>
      </c>
      <c r="AC82" s="130">
        <v>164000000</v>
      </c>
      <c r="AD82" s="131">
        <v>150000000</v>
      </c>
      <c r="AE82" s="87">
        <f t="shared" si="1"/>
        <v>459000000</v>
      </c>
      <c r="AF82" s="30" t="s">
        <v>357</v>
      </c>
    </row>
    <row r="83" spans="1:32" ht="41.4" x14ac:dyDescent="0.3">
      <c r="A83" s="169"/>
      <c r="B83" s="170">
        <v>0</v>
      </c>
      <c r="C83" s="171"/>
      <c r="D83" s="171">
        <v>0</v>
      </c>
      <c r="E83" s="64">
        <v>0</v>
      </c>
      <c r="F83" s="64">
        <v>0</v>
      </c>
      <c r="G83" s="64">
        <f>5.934-3-2-0.934</f>
        <v>0</v>
      </c>
      <c r="H83" s="64">
        <f>0+2.5-2.5</f>
        <v>0</v>
      </c>
      <c r="I83" s="64">
        <v>1.4829999999999999</v>
      </c>
      <c r="J83" s="65">
        <v>54020020013</v>
      </c>
      <c r="K83" s="68" t="s">
        <v>2316</v>
      </c>
      <c r="L83" s="68" t="s">
        <v>2317</v>
      </c>
      <c r="M83" s="22" t="s">
        <v>107</v>
      </c>
      <c r="N83" s="85" t="s">
        <v>373</v>
      </c>
      <c r="O83" s="73" t="s">
        <v>381</v>
      </c>
      <c r="P83" s="22" t="s">
        <v>1070</v>
      </c>
      <c r="Q83" s="22" t="s">
        <v>373</v>
      </c>
      <c r="R83" s="22">
        <v>17</v>
      </c>
      <c r="S83" s="21">
        <v>36</v>
      </c>
      <c r="T83" s="22">
        <v>13</v>
      </c>
      <c r="U83" s="21">
        <v>0</v>
      </c>
      <c r="V83" s="21">
        <v>1</v>
      </c>
      <c r="W83" s="21">
        <v>0</v>
      </c>
      <c r="X83" s="21">
        <v>0</v>
      </c>
      <c r="Y83" s="94">
        <v>0</v>
      </c>
      <c r="Z83" s="116">
        <v>0</v>
      </c>
      <c r="AA83" s="87">
        <v>0</v>
      </c>
      <c r="AB83" s="29">
        <v>0</v>
      </c>
      <c r="AC83" s="130">
        <v>0</v>
      </c>
      <c r="AD83" s="131">
        <v>0</v>
      </c>
      <c r="AE83" s="87">
        <f t="shared" si="1"/>
        <v>0</v>
      </c>
      <c r="AF83" s="30" t="s">
        <v>364</v>
      </c>
    </row>
    <row r="84" spans="1:32" ht="96.6" x14ac:dyDescent="0.3">
      <c r="A84" s="169"/>
      <c r="B84" s="170">
        <v>0</v>
      </c>
      <c r="C84" s="171"/>
      <c r="D84" s="171">
        <v>0</v>
      </c>
      <c r="E84" s="64">
        <v>4.7329999999999997</v>
      </c>
      <c r="F84" s="64">
        <f>3.574+0.8</f>
        <v>4.3739999999999997</v>
      </c>
      <c r="G84" s="64">
        <f>4.443+1.4</f>
        <v>5.843</v>
      </c>
      <c r="H84" s="64">
        <v>4.3860000000000001</v>
      </c>
      <c r="I84" s="64">
        <v>4.5060000000000002</v>
      </c>
      <c r="J84" s="65">
        <v>54020020014</v>
      </c>
      <c r="K84" s="68" t="s">
        <v>2449</v>
      </c>
      <c r="L84" s="68" t="s">
        <v>2318</v>
      </c>
      <c r="M84" s="22" t="s">
        <v>107</v>
      </c>
      <c r="N84" s="85" t="s">
        <v>373</v>
      </c>
      <c r="O84" s="73" t="s">
        <v>486</v>
      </c>
      <c r="P84" s="22" t="s">
        <v>1071</v>
      </c>
      <c r="Q84" s="22" t="s">
        <v>373</v>
      </c>
      <c r="R84" s="22">
        <v>17</v>
      </c>
      <c r="S84" s="21">
        <v>35</v>
      </c>
      <c r="T84" s="22">
        <v>13</v>
      </c>
      <c r="U84" s="21">
        <v>0</v>
      </c>
      <c r="V84" s="21">
        <v>8</v>
      </c>
      <c r="W84" s="21">
        <v>1</v>
      </c>
      <c r="X84" s="21">
        <v>2</v>
      </c>
      <c r="Y84" s="94">
        <v>5</v>
      </c>
      <c r="Z84" s="116">
        <v>8</v>
      </c>
      <c r="AA84" s="87">
        <v>579000000</v>
      </c>
      <c r="AB84" s="29">
        <v>422460572</v>
      </c>
      <c r="AC84" s="130">
        <v>750000000</v>
      </c>
      <c r="AD84" s="131">
        <v>181604686</v>
      </c>
      <c r="AE84" s="87">
        <f t="shared" si="1"/>
        <v>1933065258</v>
      </c>
      <c r="AF84" s="30" t="s">
        <v>364</v>
      </c>
    </row>
    <row r="85" spans="1:32" ht="82.8" x14ac:dyDescent="0.3">
      <c r="A85" s="169"/>
      <c r="B85" s="170">
        <v>0</v>
      </c>
      <c r="C85" s="171"/>
      <c r="D85" s="171">
        <v>0</v>
      </c>
      <c r="E85" s="64">
        <v>3.5289999999999999</v>
      </c>
      <c r="F85" s="64">
        <f>4.978-0.8</f>
        <v>4.1779999999999999</v>
      </c>
      <c r="G85" s="64">
        <v>2.8240000000000003</v>
      </c>
      <c r="H85" s="64">
        <v>3.5029999999999997</v>
      </c>
      <c r="I85" s="64">
        <v>4.0250000000000004</v>
      </c>
      <c r="J85" s="65">
        <v>54020020015</v>
      </c>
      <c r="K85" s="68" t="s">
        <v>2319</v>
      </c>
      <c r="L85" s="68" t="s">
        <v>2320</v>
      </c>
      <c r="M85" s="22" t="s">
        <v>107</v>
      </c>
      <c r="N85" s="85" t="s">
        <v>373</v>
      </c>
      <c r="O85" s="73" t="s">
        <v>381</v>
      </c>
      <c r="P85" s="22" t="s">
        <v>1072</v>
      </c>
      <c r="Q85" s="22" t="s">
        <v>373</v>
      </c>
      <c r="R85" s="22">
        <v>17</v>
      </c>
      <c r="S85" s="21">
        <v>32</v>
      </c>
      <c r="T85" s="22">
        <v>17</v>
      </c>
      <c r="U85" s="21">
        <v>0</v>
      </c>
      <c r="V85" s="21">
        <v>1</v>
      </c>
      <c r="W85" s="48">
        <v>0.1</v>
      </c>
      <c r="X85" s="48">
        <v>0.2</v>
      </c>
      <c r="Y85" s="102">
        <v>0.6</v>
      </c>
      <c r="Z85" s="116">
        <v>1</v>
      </c>
      <c r="AA85" s="105">
        <v>82080000</v>
      </c>
      <c r="AB85" s="49">
        <v>202000000</v>
      </c>
      <c r="AC85" s="132">
        <v>272000000</v>
      </c>
      <c r="AD85" s="120">
        <v>400831000</v>
      </c>
      <c r="AE85" s="87">
        <f t="shared" si="1"/>
        <v>956911000</v>
      </c>
      <c r="AF85" s="30" t="s">
        <v>368</v>
      </c>
    </row>
    <row r="86" spans="1:32" ht="41.4" x14ac:dyDescent="0.3">
      <c r="A86" s="169"/>
      <c r="B86" s="170">
        <v>0</v>
      </c>
      <c r="C86" s="171"/>
      <c r="D86" s="171">
        <v>0</v>
      </c>
      <c r="E86" s="64">
        <v>4.4820000000000002</v>
      </c>
      <c r="F86" s="64">
        <v>3.8289999999999997</v>
      </c>
      <c r="G86" s="64">
        <f>3.702+1.4</f>
        <v>5.1020000000000003</v>
      </c>
      <c r="H86" s="64">
        <v>4.1770000000000005</v>
      </c>
      <c r="I86" s="64">
        <v>3.8609999999999998</v>
      </c>
      <c r="J86" s="65">
        <v>54020020016</v>
      </c>
      <c r="K86" s="68" t="s">
        <v>2321</v>
      </c>
      <c r="L86" s="68" t="s">
        <v>2322</v>
      </c>
      <c r="M86" s="22" t="s">
        <v>144</v>
      </c>
      <c r="N86" s="85" t="s">
        <v>373</v>
      </c>
      <c r="O86" s="73" t="s">
        <v>381</v>
      </c>
      <c r="P86" s="22" t="s">
        <v>1073</v>
      </c>
      <c r="Q86" s="22" t="s">
        <v>373</v>
      </c>
      <c r="R86" s="22">
        <v>17</v>
      </c>
      <c r="S86" s="21">
        <v>41</v>
      </c>
      <c r="T86" s="22">
        <v>14</v>
      </c>
      <c r="U86" s="21">
        <v>0</v>
      </c>
      <c r="V86" s="21">
        <v>13</v>
      </c>
      <c r="W86" s="21">
        <v>4</v>
      </c>
      <c r="X86" s="21">
        <v>13</v>
      </c>
      <c r="Y86" s="94">
        <v>13</v>
      </c>
      <c r="Z86" s="116">
        <v>13</v>
      </c>
      <c r="AA86" s="87">
        <v>385000000</v>
      </c>
      <c r="AB86" s="29">
        <v>680684508</v>
      </c>
      <c r="AC86" s="130">
        <v>700000000</v>
      </c>
      <c r="AD86" s="131">
        <v>585675625</v>
      </c>
      <c r="AE86" s="87">
        <f t="shared" si="1"/>
        <v>2351360133</v>
      </c>
      <c r="AF86" s="30" t="s">
        <v>370</v>
      </c>
    </row>
    <row r="87" spans="1:32" ht="55.2" x14ac:dyDescent="0.3">
      <c r="A87" s="169"/>
      <c r="B87" s="170">
        <v>0</v>
      </c>
      <c r="C87" s="171"/>
      <c r="D87" s="171">
        <v>0</v>
      </c>
      <c r="E87" s="64">
        <v>3.8639999999999999</v>
      </c>
      <c r="F87" s="64">
        <v>4.2759999999999998</v>
      </c>
      <c r="G87" s="64">
        <v>3.09</v>
      </c>
      <c r="H87" s="64">
        <v>3.1080000000000001</v>
      </c>
      <c r="I87" s="64">
        <v>3.9440000000000004</v>
      </c>
      <c r="J87" s="65">
        <v>54020020017</v>
      </c>
      <c r="K87" s="68" t="s">
        <v>2323</v>
      </c>
      <c r="L87" s="68" t="s">
        <v>2324</v>
      </c>
      <c r="M87" s="22" t="s">
        <v>107</v>
      </c>
      <c r="N87" s="85" t="s">
        <v>373</v>
      </c>
      <c r="O87" s="73" t="s">
        <v>381</v>
      </c>
      <c r="P87" s="22" t="s">
        <v>1074</v>
      </c>
      <c r="Q87" s="22" t="s">
        <v>373</v>
      </c>
      <c r="R87" s="22">
        <v>17</v>
      </c>
      <c r="S87" s="21">
        <v>43</v>
      </c>
      <c r="T87" s="22">
        <v>4</v>
      </c>
      <c r="U87" s="21">
        <v>4</v>
      </c>
      <c r="V87" s="21">
        <v>8</v>
      </c>
      <c r="W87" s="21">
        <v>5</v>
      </c>
      <c r="X87" s="21">
        <v>6</v>
      </c>
      <c r="Y87" s="94">
        <v>7</v>
      </c>
      <c r="Z87" s="116">
        <v>8</v>
      </c>
      <c r="AA87" s="87">
        <v>133948447</v>
      </c>
      <c r="AB87" s="29">
        <v>71000000</v>
      </c>
      <c r="AC87" s="130">
        <v>356323360</v>
      </c>
      <c r="AD87" s="131">
        <v>191156220</v>
      </c>
      <c r="AE87" s="87">
        <f t="shared" si="1"/>
        <v>752428027</v>
      </c>
      <c r="AF87" s="30" t="s">
        <v>369</v>
      </c>
    </row>
    <row r="88" spans="1:32" ht="41.4" x14ac:dyDescent="0.3">
      <c r="A88" s="169"/>
      <c r="B88" s="170">
        <v>0</v>
      </c>
      <c r="C88" s="171"/>
      <c r="D88" s="171">
        <v>0</v>
      </c>
      <c r="E88" s="64">
        <v>8.5839999999999996</v>
      </c>
      <c r="F88" s="64">
        <v>5.8920000000000003</v>
      </c>
      <c r="G88" s="64">
        <f>5.063+0.934</f>
        <v>5.9969999999999999</v>
      </c>
      <c r="H88" s="64">
        <v>6.5670000000000002</v>
      </c>
      <c r="I88" s="64">
        <v>6.8640000000000008</v>
      </c>
      <c r="J88" s="65">
        <v>54020020018</v>
      </c>
      <c r="K88" s="68" t="s">
        <v>2325</v>
      </c>
      <c r="L88" s="68" t="s">
        <v>2326</v>
      </c>
      <c r="M88" s="22" t="s">
        <v>107</v>
      </c>
      <c r="N88" s="85" t="s">
        <v>373</v>
      </c>
      <c r="O88" s="73" t="s">
        <v>381</v>
      </c>
      <c r="P88" s="22" t="s">
        <v>1075</v>
      </c>
      <c r="Q88" s="22" t="s">
        <v>373</v>
      </c>
      <c r="R88" s="22">
        <v>17</v>
      </c>
      <c r="S88" s="21">
        <v>4</v>
      </c>
      <c r="T88" s="22">
        <v>17</v>
      </c>
      <c r="U88" s="21">
        <v>0</v>
      </c>
      <c r="V88" s="21">
        <v>4</v>
      </c>
      <c r="W88" s="21">
        <v>1</v>
      </c>
      <c r="X88" s="21">
        <v>2</v>
      </c>
      <c r="Y88" s="94">
        <v>3</v>
      </c>
      <c r="Z88" s="116">
        <v>4</v>
      </c>
      <c r="AA88" s="87">
        <v>1641422841</v>
      </c>
      <c r="AB88" s="29">
        <v>1000000000</v>
      </c>
      <c r="AC88" s="130">
        <v>2021682053</v>
      </c>
      <c r="AD88" s="131">
        <v>1780758363</v>
      </c>
      <c r="AE88" s="87">
        <f t="shared" si="1"/>
        <v>6443863257</v>
      </c>
      <c r="AF88" s="30" t="s">
        <v>1149</v>
      </c>
    </row>
    <row r="89" spans="1:32" ht="69" x14ac:dyDescent="0.3">
      <c r="A89" s="169"/>
      <c r="B89" s="170">
        <v>0</v>
      </c>
      <c r="C89" s="171"/>
      <c r="D89" s="171">
        <v>0</v>
      </c>
      <c r="E89" s="64">
        <v>0</v>
      </c>
      <c r="F89" s="64">
        <v>3.319</v>
      </c>
      <c r="G89" s="64">
        <v>3.1589999999999998</v>
      </c>
      <c r="H89" s="64">
        <v>3.2140000000000004</v>
      </c>
      <c r="I89" s="64">
        <v>2.423</v>
      </c>
      <c r="J89" s="65">
        <v>54020020019</v>
      </c>
      <c r="K89" s="68" t="s">
        <v>2327</v>
      </c>
      <c r="L89" s="68" t="s">
        <v>2328</v>
      </c>
      <c r="M89" s="86" t="s">
        <v>107</v>
      </c>
      <c r="N89" s="85" t="s">
        <v>373</v>
      </c>
      <c r="O89" s="73" t="s">
        <v>381</v>
      </c>
      <c r="P89" s="22" t="s">
        <v>1076</v>
      </c>
      <c r="Q89" s="22" t="s">
        <v>373</v>
      </c>
      <c r="R89" s="22">
        <v>17</v>
      </c>
      <c r="S89" s="21">
        <v>45</v>
      </c>
      <c r="T89" s="22">
        <v>17</v>
      </c>
      <c r="U89" s="21">
        <v>8</v>
      </c>
      <c r="V89" s="21">
        <v>16</v>
      </c>
      <c r="W89" s="21">
        <v>0</v>
      </c>
      <c r="X89" s="21">
        <v>10</v>
      </c>
      <c r="Y89" s="94">
        <v>13</v>
      </c>
      <c r="Z89" s="116">
        <v>16</v>
      </c>
      <c r="AA89" s="87">
        <v>0</v>
      </c>
      <c r="AB89" s="29">
        <v>101506120</v>
      </c>
      <c r="AC89" s="130">
        <v>231924162</v>
      </c>
      <c r="AD89" s="131">
        <v>269495820</v>
      </c>
      <c r="AE89" s="87">
        <f t="shared" si="1"/>
        <v>602926102</v>
      </c>
      <c r="AF89" s="30" t="s">
        <v>1147</v>
      </c>
    </row>
    <row r="90" spans="1:32" ht="82.8" x14ac:dyDescent="0.3">
      <c r="A90" s="169"/>
      <c r="B90" s="170">
        <v>0</v>
      </c>
      <c r="C90" s="171"/>
      <c r="D90" s="171">
        <v>0</v>
      </c>
      <c r="E90" s="64">
        <v>5.5510000000000002</v>
      </c>
      <c r="F90" s="64">
        <v>4.3819999999999997</v>
      </c>
      <c r="G90" s="64">
        <f>6.997-1.4</f>
        <v>5.5969999999999995</v>
      </c>
      <c r="H90" s="64">
        <f>7.67-2.5</f>
        <v>5.17</v>
      </c>
      <c r="I90" s="64">
        <v>6.7040000000000006</v>
      </c>
      <c r="J90" s="65">
        <v>54020020020</v>
      </c>
      <c r="K90" s="68" t="s">
        <v>2329</v>
      </c>
      <c r="L90" s="68" t="s">
        <v>2330</v>
      </c>
      <c r="M90" s="22" t="s">
        <v>107</v>
      </c>
      <c r="N90" s="85" t="s">
        <v>373</v>
      </c>
      <c r="O90" s="73" t="s">
        <v>381</v>
      </c>
      <c r="P90" s="22" t="s">
        <v>1077</v>
      </c>
      <c r="Q90" s="22" t="s">
        <v>373</v>
      </c>
      <c r="R90" s="22">
        <v>17</v>
      </c>
      <c r="S90" s="21">
        <v>45</v>
      </c>
      <c r="T90" s="22">
        <v>18</v>
      </c>
      <c r="U90" s="21">
        <v>0</v>
      </c>
      <c r="V90" s="21">
        <v>12</v>
      </c>
      <c r="W90" s="21">
        <v>1</v>
      </c>
      <c r="X90" s="21">
        <v>5</v>
      </c>
      <c r="Y90" s="94">
        <v>9</v>
      </c>
      <c r="Z90" s="116">
        <v>12</v>
      </c>
      <c r="AA90" s="87">
        <v>705806529</v>
      </c>
      <c r="AB90" s="29">
        <v>800000000</v>
      </c>
      <c r="AC90" s="130">
        <v>452214740</v>
      </c>
      <c r="AD90" s="131">
        <v>369192451</v>
      </c>
      <c r="AE90" s="87">
        <f t="shared" si="1"/>
        <v>2327213720</v>
      </c>
      <c r="AF90" s="30" t="s">
        <v>372</v>
      </c>
    </row>
    <row r="91" spans="1:32" ht="41.4" x14ac:dyDescent="0.3">
      <c r="A91" s="169"/>
      <c r="B91" s="170">
        <v>0</v>
      </c>
      <c r="C91" s="171"/>
      <c r="D91" s="171">
        <v>0</v>
      </c>
      <c r="E91" s="64">
        <v>3.8380000000000001</v>
      </c>
      <c r="F91" s="64">
        <v>4.0949999999999998</v>
      </c>
      <c r="G91" s="64">
        <v>3.5649999999999999</v>
      </c>
      <c r="H91" s="64">
        <v>2.871</v>
      </c>
      <c r="I91" s="64">
        <v>3.698</v>
      </c>
      <c r="J91" s="65">
        <v>54020020021</v>
      </c>
      <c r="K91" s="68" t="s">
        <v>2331</v>
      </c>
      <c r="L91" s="68" t="s">
        <v>2332</v>
      </c>
      <c r="M91" s="22" t="s">
        <v>107</v>
      </c>
      <c r="N91" s="85" t="s">
        <v>373</v>
      </c>
      <c r="O91" s="73" t="s">
        <v>381</v>
      </c>
      <c r="P91" s="22" t="s">
        <v>1078</v>
      </c>
      <c r="Q91" s="22" t="s">
        <v>373</v>
      </c>
      <c r="R91" s="22">
        <v>17</v>
      </c>
      <c r="S91" s="21">
        <v>4</v>
      </c>
      <c r="T91" s="22">
        <v>17</v>
      </c>
      <c r="U91" s="21">
        <v>0</v>
      </c>
      <c r="V91" s="21">
        <v>1</v>
      </c>
      <c r="W91" s="21">
        <v>1</v>
      </c>
      <c r="X91" s="21">
        <v>1</v>
      </c>
      <c r="Y91" s="94">
        <v>1</v>
      </c>
      <c r="Z91" s="116">
        <v>1</v>
      </c>
      <c r="AA91" s="87">
        <v>130000000</v>
      </c>
      <c r="AB91" s="29">
        <v>485000000</v>
      </c>
      <c r="AC91" s="130">
        <v>509625387</v>
      </c>
      <c r="AD91" s="131">
        <v>559625387</v>
      </c>
      <c r="AE91" s="87">
        <f t="shared" si="1"/>
        <v>1684250774</v>
      </c>
      <c r="AF91" s="30" t="s">
        <v>1149</v>
      </c>
    </row>
    <row r="92" spans="1:32" ht="124.2" x14ac:dyDescent="0.3">
      <c r="A92" s="169"/>
      <c r="B92" s="170">
        <v>0</v>
      </c>
      <c r="C92" s="171"/>
      <c r="D92" s="171">
        <v>0</v>
      </c>
      <c r="E92" s="64">
        <v>0</v>
      </c>
      <c r="F92" s="64">
        <f>3.393-3.393</f>
        <v>0</v>
      </c>
      <c r="G92" s="64">
        <f>0+2.8-1.4-1.4</f>
        <v>0</v>
      </c>
      <c r="H92" s="64">
        <f>0+2.5</f>
        <v>2.5</v>
      </c>
      <c r="I92" s="64">
        <v>0.85099999999999998</v>
      </c>
      <c r="J92" s="65">
        <v>54020020022</v>
      </c>
      <c r="K92" s="68" t="s">
        <v>2333</v>
      </c>
      <c r="L92" s="68" t="s">
        <v>2334</v>
      </c>
      <c r="M92" s="22" t="s">
        <v>107</v>
      </c>
      <c r="N92" s="85" t="s">
        <v>373</v>
      </c>
      <c r="O92" s="73" t="s">
        <v>381</v>
      </c>
      <c r="P92" s="22" t="s">
        <v>1079</v>
      </c>
      <c r="Q92" s="22" t="s">
        <v>373</v>
      </c>
      <c r="R92" s="22">
        <v>17</v>
      </c>
      <c r="S92" s="21">
        <v>32</v>
      </c>
      <c r="T92" s="22">
        <v>17</v>
      </c>
      <c r="U92" s="21">
        <v>0</v>
      </c>
      <c r="V92" s="21">
        <v>1</v>
      </c>
      <c r="W92" s="21">
        <v>0</v>
      </c>
      <c r="X92" s="21">
        <v>0</v>
      </c>
      <c r="Y92" s="94">
        <v>0</v>
      </c>
      <c r="Z92" s="116">
        <v>1</v>
      </c>
      <c r="AA92" s="111">
        <v>0</v>
      </c>
      <c r="AB92" s="21">
        <v>0</v>
      </c>
      <c r="AC92" s="94">
        <v>0</v>
      </c>
      <c r="AD92" s="116">
        <v>45486000</v>
      </c>
      <c r="AE92" s="87">
        <f t="shared" si="1"/>
        <v>45486000</v>
      </c>
      <c r="AF92" s="30" t="s">
        <v>368</v>
      </c>
    </row>
    <row r="93" spans="1:32" ht="55.2" x14ac:dyDescent="0.3">
      <c r="A93" s="169"/>
      <c r="B93" s="170">
        <v>0</v>
      </c>
      <c r="C93" s="171"/>
      <c r="D93" s="171">
        <v>0</v>
      </c>
      <c r="E93" s="64">
        <v>0</v>
      </c>
      <c r="F93" s="64">
        <v>0</v>
      </c>
      <c r="G93" s="64">
        <v>3.0579999999999998</v>
      </c>
      <c r="H93" s="64">
        <v>3.044</v>
      </c>
      <c r="I93" s="64">
        <v>1.5249999999999999</v>
      </c>
      <c r="J93" s="65">
        <v>54020020023</v>
      </c>
      <c r="K93" s="68" t="s">
        <v>2335</v>
      </c>
      <c r="L93" s="68" t="s">
        <v>2336</v>
      </c>
      <c r="M93" s="22" t="s">
        <v>107</v>
      </c>
      <c r="N93" s="85" t="s">
        <v>373</v>
      </c>
      <c r="O93" s="73" t="s">
        <v>381</v>
      </c>
      <c r="P93" s="22" t="s">
        <v>1080</v>
      </c>
      <c r="Q93" s="22" t="s">
        <v>373</v>
      </c>
      <c r="R93" s="22">
        <v>17</v>
      </c>
      <c r="S93" s="21">
        <v>4</v>
      </c>
      <c r="T93" s="22">
        <v>13</v>
      </c>
      <c r="U93" s="21">
        <v>0</v>
      </c>
      <c r="V93" s="21">
        <v>10</v>
      </c>
      <c r="W93" s="21">
        <v>0</v>
      </c>
      <c r="X93" s="21">
        <v>0</v>
      </c>
      <c r="Y93" s="94">
        <v>5</v>
      </c>
      <c r="Z93" s="116">
        <v>10</v>
      </c>
      <c r="AA93" s="87">
        <v>0</v>
      </c>
      <c r="AB93" s="29">
        <v>0</v>
      </c>
      <c r="AC93" s="130">
        <v>50000000</v>
      </c>
      <c r="AD93" s="131">
        <v>25270000</v>
      </c>
      <c r="AE93" s="87">
        <f t="shared" si="1"/>
        <v>75270000</v>
      </c>
      <c r="AF93" s="30" t="s">
        <v>364</v>
      </c>
    </row>
    <row r="94" spans="1:32" ht="110.4" x14ac:dyDescent="0.3">
      <c r="A94" s="169"/>
      <c r="B94" s="170">
        <v>0</v>
      </c>
      <c r="C94" s="171"/>
      <c r="D94" s="171">
        <v>0</v>
      </c>
      <c r="E94" s="64">
        <v>0</v>
      </c>
      <c r="F94" s="64">
        <v>3.8089999999999997</v>
      </c>
      <c r="G94" s="64">
        <v>3.2879999999999998</v>
      </c>
      <c r="H94" s="64">
        <v>3.2800000000000002</v>
      </c>
      <c r="I94" s="64">
        <v>2.5940000000000003</v>
      </c>
      <c r="J94" s="65">
        <v>54020020024</v>
      </c>
      <c r="K94" s="68" t="s">
        <v>2337</v>
      </c>
      <c r="L94" s="68" t="s">
        <v>2338</v>
      </c>
      <c r="M94" s="22" t="s">
        <v>107</v>
      </c>
      <c r="N94" s="85" t="s">
        <v>373</v>
      </c>
      <c r="O94" s="73" t="s">
        <v>381</v>
      </c>
      <c r="P94" s="22" t="s">
        <v>1081</v>
      </c>
      <c r="Q94" s="22" t="s">
        <v>373</v>
      </c>
      <c r="R94" s="22">
        <v>16</v>
      </c>
      <c r="S94" s="21">
        <v>45</v>
      </c>
      <c r="T94" s="22">
        <v>16</v>
      </c>
      <c r="U94" s="21">
        <v>0</v>
      </c>
      <c r="V94" s="21">
        <v>3</v>
      </c>
      <c r="W94" s="21">
        <v>0</v>
      </c>
      <c r="X94" s="21">
        <v>1</v>
      </c>
      <c r="Y94" s="94">
        <v>2</v>
      </c>
      <c r="Z94" s="116">
        <v>3</v>
      </c>
      <c r="AA94" s="87">
        <v>0</v>
      </c>
      <c r="AB94" s="29">
        <v>400000000</v>
      </c>
      <c r="AC94" s="130">
        <v>300000000</v>
      </c>
      <c r="AD94" s="131">
        <v>344055020</v>
      </c>
      <c r="AE94" s="87">
        <f t="shared" si="1"/>
        <v>1044055020</v>
      </c>
      <c r="AF94" s="30" t="s">
        <v>1139</v>
      </c>
    </row>
    <row r="95" spans="1:32" ht="55.2" x14ac:dyDescent="0.3">
      <c r="A95" s="169"/>
      <c r="B95" s="170">
        <v>0</v>
      </c>
      <c r="C95" s="171"/>
      <c r="D95" s="171">
        <v>0</v>
      </c>
      <c r="E95" s="64">
        <v>19.187000000000001</v>
      </c>
      <c r="F95" s="64">
        <f>5.106+3.393+3.915+1.766</f>
        <v>14.179999999999998</v>
      </c>
      <c r="G95" s="64">
        <f>6.462-1.4+3</f>
        <v>8.0619999999999994</v>
      </c>
      <c r="H95" s="64">
        <f>6.353+2.5</f>
        <v>8.8529999999999998</v>
      </c>
      <c r="I95" s="64">
        <v>4.4799999999999995</v>
      </c>
      <c r="J95" s="65">
        <v>54020020025</v>
      </c>
      <c r="K95" s="68" t="s">
        <v>2339</v>
      </c>
      <c r="L95" s="68" t="s">
        <v>2340</v>
      </c>
      <c r="M95" s="22" t="s">
        <v>107</v>
      </c>
      <c r="N95" s="85" t="s">
        <v>373</v>
      </c>
      <c r="O95" s="73" t="s">
        <v>381</v>
      </c>
      <c r="P95" s="22" t="s">
        <v>1082</v>
      </c>
      <c r="Q95" s="22" t="s">
        <v>373</v>
      </c>
      <c r="R95" s="22">
        <v>11</v>
      </c>
      <c r="S95" s="21">
        <v>45</v>
      </c>
      <c r="T95" s="22">
        <v>17</v>
      </c>
      <c r="U95" s="21">
        <v>0</v>
      </c>
      <c r="V95" s="21">
        <v>9</v>
      </c>
      <c r="W95" s="21">
        <v>1</v>
      </c>
      <c r="X95" s="21">
        <v>3</v>
      </c>
      <c r="Y95" s="94">
        <v>6</v>
      </c>
      <c r="Z95" s="116">
        <v>9</v>
      </c>
      <c r="AA95" s="87">
        <v>5301886168</v>
      </c>
      <c r="AB95" s="29">
        <v>5861840000</v>
      </c>
      <c r="AC95" s="130">
        <v>5200000000</v>
      </c>
      <c r="AD95" s="29">
        <v>7065900886</v>
      </c>
      <c r="AE95" s="87">
        <f t="shared" si="1"/>
        <v>23429627054</v>
      </c>
      <c r="AF95" s="30" t="s">
        <v>363</v>
      </c>
    </row>
    <row r="96" spans="1:32" ht="38.25" customHeight="1" x14ac:dyDescent="0.3">
      <c r="A96" s="169"/>
      <c r="B96" s="170">
        <v>0</v>
      </c>
      <c r="C96" s="171" t="s">
        <v>2341</v>
      </c>
      <c r="D96" s="171">
        <v>29.951000000000001</v>
      </c>
      <c r="E96" s="64">
        <v>0</v>
      </c>
      <c r="F96" s="64">
        <f>4.461-4.461</f>
        <v>0</v>
      </c>
      <c r="G96" s="64">
        <v>3.7850000000000001</v>
      </c>
      <c r="H96" s="64">
        <f>4.561+0.5</f>
        <v>5.0609999999999999</v>
      </c>
      <c r="I96" s="64">
        <v>3.202</v>
      </c>
      <c r="J96" s="65">
        <v>54020030001</v>
      </c>
      <c r="K96" s="68" t="s">
        <v>2342</v>
      </c>
      <c r="L96" s="68" t="s">
        <v>2343</v>
      </c>
      <c r="M96" s="22" t="s">
        <v>107</v>
      </c>
      <c r="N96" s="85" t="s">
        <v>373</v>
      </c>
      <c r="O96" s="73" t="s">
        <v>381</v>
      </c>
      <c r="P96" s="22" t="s">
        <v>1083</v>
      </c>
      <c r="Q96" s="22" t="s">
        <v>373</v>
      </c>
      <c r="R96" s="22">
        <v>17</v>
      </c>
      <c r="S96" s="21">
        <v>23</v>
      </c>
      <c r="T96" s="22">
        <v>17</v>
      </c>
      <c r="U96" s="21">
        <v>0</v>
      </c>
      <c r="V96" s="21">
        <v>3</v>
      </c>
      <c r="W96" s="21">
        <v>0</v>
      </c>
      <c r="X96" s="22">
        <v>0</v>
      </c>
      <c r="Y96" s="101">
        <v>2</v>
      </c>
      <c r="Z96" s="117">
        <v>3</v>
      </c>
      <c r="AA96" s="87">
        <v>0</v>
      </c>
      <c r="AB96" s="29">
        <v>0</v>
      </c>
      <c r="AC96" s="130">
        <v>58115200</v>
      </c>
      <c r="AD96" s="131">
        <v>145023900</v>
      </c>
      <c r="AE96" s="87">
        <f t="shared" si="1"/>
        <v>203139100</v>
      </c>
      <c r="AF96" s="30" t="s">
        <v>354</v>
      </c>
    </row>
    <row r="97" spans="1:32" ht="41.4" x14ac:dyDescent="0.3">
      <c r="A97" s="169"/>
      <c r="B97" s="170">
        <v>0</v>
      </c>
      <c r="C97" s="171"/>
      <c r="D97" s="171">
        <v>0</v>
      </c>
      <c r="E97" s="64">
        <v>18.103000000000002</v>
      </c>
      <c r="F97" s="64">
        <f>5.519+4.461+3.87</f>
        <v>13.850000000000001</v>
      </c>
      <c r="G97" s="64">
        <v>12.524000000000001</v>
      </c>
      <c r="H97" s="64">
        <f>6.946+5+0.258</f>
        <v>12.204000000000001</v>
      </c>
      <c r="I97" s="64">
        <v>11.249000000000001</v>
      </c>
      <c r="J97" s="65">
        <v>54020030002</v>
      </c>
      <c r="K97" s="68" t="s">
        <v>2344</v>
      </c>
      <c r="L97" s="68" t="s">
        <v>2345</v>
      </c>
      <c r="M97" s="22" t="s">
        <v>107</v>
      </c>
      <c r="N97" s="85" t="s">
        <v>373</v>
      </c>
      <c r="O97" s="73" t="s">
        <v>381</v>
      </c>
      <c r="P97" s="22" t="s">
        <v>1084</v>
      </c>
      <c r="Q97" s="22" t="s">
        <v>373</v>
      </c>
      <c r="R97" s="22">
        <v>9</v>
      </c>
      <c r="S97" s="21">
        <v>23</v>
      </c>
      <c r="T97" s="22">
        <v>17</v>
      </c>
      <c r="U97" s="21">
        <v>0</v>
      </c>
      <c r="V97" s="21">
        <v>1</v>
      </c>
      <c r="W97" s="33">
        <v>0.1</v>
      </c>
      <c r="X97" s="33">
        <v>0.3</v>
      </c>
      <c r="Y97" s="103">
        <v>0.65</v>
      </c>
      <c r="Z97" s="123">
        <v>1</v>
      </c>
      <c r="AA97" s="87">
        <v>10346884782</v>
      </c>
      <c r="AB97" s="29">
        <v>3795649480</v>
      </c>
      <c r="AC97" s="130">
        <v>4008825600</v>
      </c>
      <c r="AD97" s="131">
        <v>2810919460</v>
      </c>
      <c r="AE97" s="87">
        <f t="shared" si="1"/>
        <v>20962279322</v>
      </c>
      <c r="AF97" s="30" t="s">
        <v>354</v>
      </c>
    </row>
    <row r="98" spans="1:32" ht="82.8" x14ac:dyDescent="0.3">
      <c r="A98" s="169"/>
      <c r="B98" s="170">
        <v>0</v>
      </c>
      <c r="C98" s="171"/>
      <c r="D98" s="171">
        <v>0</v>
      </c>
      <c r="E98" s="64">
        <v>0</v>
      </c>
      <c r="F98" s="64">
        <v>3.5259999999999998</v>
      </c>
      <c r="G98" s="64">
        <v>4.1959999999999997</v>
      </c>
      <c r="H98" s="64">
        <f>3.418+1.142-0.3</f>
        <v>4.2600000000000007</v>
      </c>
      <c r="I98" s="64">
        <v>2.5350000000000001</v>
      </c>
      <c r="J98" s="65">
        <v>54020030003</v>
      </c>
      <c r="K98" s="68" t="s">
        <v>2346</v>
      </c>
      <c r="L98" s="68" t="s">
        <v>2347</v>
      </c>
      <c r="M98" s="22" t="s">
        <v>107</v>
      </c>
      <c r="N98" s="85" t="s">
        <v>374</v>
      </c>
      <c r="O98" s="73" t="s">
        <v>507</v>
      </c>
      <c r="P98" s="22" t="s">
        <v>1085</v>
      </c>
      <c r="Q98" s="22" t="s">
        <v>373</v>
      </c>
      <c r="R98" s="22">
        <v>9</v>
      </c>
      <c r="S98" s="21">
        <v>45</v>
      </c>
      <c r="T98" s="22">
        <v>16</v>
      </c>
      <c r="U98" s="21">
        <v>0</v>
      </c>
      <c r="V98" s="21">
        <v>100</v>
      </c>
      <c r="W98" s="21">
        <v>0</v>
      </c>
      <c r="X98" s="21">
        <v>35</v>
      </c>
      <c r="Y98" s="94">
        <v>70</v>
      </c>
      <c r="Z98" s="116">
        <v>100</v>
      </c>
      <c r="AA98" s="87">
        <v>0</v>
      </c>
      <c r="AB98" s="29">
        <v>181034110</v>
      </c>
      <c r="AC98" s="130">
        <v>255855600</v>
      </c>
      <c r="AD98" s="131">
        <v>96108000</v>
      </c>
      <c r="AE98" s="87">
        <f t="shared" si="1"/>
        <v>532997710</v>
      </c>
      <c r="AF98" s="30" t="s">
        <v>1141</v>
      </c>
    </row>
    <row r="99" spans="1:32" ht="41.4" x14ac:dyDescent="0.3">
      <c r="A99" s="169"/>
      <c r="B99" s="170">
        <v>0</v>
      </c>
      <c r="C99" s="171"/>
      <c r="D99" s="171">
        <v>0</v>
      </c>
      <c r="E99" s="64">
        <v>0</v>
      </c>
      <c r="F99" s="64">
        <f>3.87-3.87</f>
        <v>0</v>
      </c>
      <c r="G99" s="64">
        <v>3.1890000000000001</v>
      </c>
      <c r="H99" s="64">
        <f>4.048-2</f>
        <v>2.048</v>
      </c>
      <c r="I99" s="64">
        <v>3.0270000000000001</v>
      </c>
      <c r="J99" s="65">
        <v>54020030004</v>
      </c>
      <c r="K99" s="68" t="s">
        <v>2348</v>
      </c>
      <c r="L99" s="68" t="s">
        <v>2349</v>
      </c>
      <c r="M99" s="22" t="s">
        <v>107</v>
      </c>
      <c r="N99" s="85" t="s">
        <v>373</v>
      </c>
      <c r="O99" s="73" t="s">
        <v>381</v>
      </c>
      <c r="P99" s="22" t="s">
        <v>1086</v>
      </c>
      <c r="Q99" s="22" t="s">
        <v>373</v>
      </c>
      <c r="R99" s="22">
        <v>17</v>
      </c>
      <c r="S99" s="21">
        <v>23</v>
      </c>
      <c r="T99" s="22">
        <v>17</v>
      </c>
      <c r="U99" s="21">
        <v>0</v>
      </c>
      <c r="V99" s="21">
        <v>1</v>
      </c>
      <c r="W99" s="21">
        <v>0</v>
      </c>
      <c r="X99" s="22">
        <v>0</v>
      </c>
      <c r="Y99" s="101">
        <v>0.5</v>
      </c>
      <c r="Z99" s="117">
        <v>1</v>
      </c>
      <c r="AA99" s="87">
        <v>0</v>
      </c>
      <c r="AB99" s="29">
        <v>0</v>
      </c>
      <c r="AC99" s="130">
        <v>42049280</v>
      </c>
      <c r="AD99" s="131">
        <v>37500680</v>
      </c>
      <c r="AE99" s="87">
        <f t="shared" si="1"/>
        <v>79549960</v>
      </c>
      <c r="AF99" s="30" t="s">
        <v>354</v>
      </c>
    </row>
    <row r="100" spans="1:32" ht="110.4" x14ac:dyDescent="0.3">
      <c r="A100" s="169"/>
      <c r="B100" s="170">
        <v>0</v>
      </c>
      <c r="C100" s="171"/>
      <c r="D100" s="171">
        <v>0</v>
      </c>
      <c r="E100" s="64">
        <v>0</v>
      </c>
      <c r="F100" s="64">
        <f>4.504-4.504+2.237</f>
        <v>2.2370000000000001</v>
      </c>
      <c r="G100" s="64">
        <v>3.9080000000000004</v>
      </c>
      <c r="H100" s="64">
        <f>4.591-0.5</f>
        <v>4.0910000000000002</v>
      </c>
      <c r="I100" s="64">
        <v>3.5009999999999999</v>
      </c>
      <c r="J100" s="65">
        <v>54020030005</v>
      </c>
      <c r="K100" s="68" t="s">
        <v>2350</v>
      </c>
      <c r="L100" s="68" t="s">
        <v>2351</v>
      </c>
      <c r="M100" s="22" t="s">
        <v>107</v>
      </c>
      <c r="N100" s="85" t="s">
        <v>374</v>
      </c>
      <c r="O100" s="73" t="s">
        <v>381</v>
      </c>
      <c r="P100" s="22" t="s">
        <v>1087</v>
      </c>
      <c r="Q100" s="22" t="s">
        <v>374</v>
      </c>
      <c r="R100" s="22">
        <v>17</v>
      </c>
      <c r="S100" s="21">
        <v>23</v>
      </c>
      <c r="T100" s="22">
        <v>17</v>
      </c>
      <c r="U100" s="21">
        <v>37.6</v>
      </c>
      <c r="V100" s="21">
        <v>41</v>
      </c>
      <c r="W100" s="21">
        <v>0</v>
      </c>
      <c r="X100" s="22">
        <v>38.700000000000003</v>
      </c>
      <c r="Y100" s="101">
        <v>39.799999999999997</v>
      </c>
      <c r="Z100" s="117">
        <v>41</v>
      </c>
      <c r="AA100" s="87">
        <v>0</v>
      </c>
      <c r="AB100" s="29">
        <v>30324000</v>
      </c>
      <c r="AC100" s="130">
        <v>88433280</v>
      </c>
      <c r="AD100" s="131">
        <v>78867180</v>
      </c>
      <c r="AE100" s="87">
        <f t="shared" si="1"/>
        <v>197624460</v>
      </c>
      <c r="AF100" s="30" t="s">
        <v>354</v>
      </c>
    </row>
    <row r="101" spans="1:32" ht="96.6" x14ac:dyDescent="0.3">
      <c r="A101" s="169"/>
      <c r="B101" s="170">
        <v>0</v>
      </c>
      <c r="C101" s="171"/>
      <c r="D101" s="171">
        <v>0</v>
      </c>
      <c r="E101" s="64">
        <v>10.89</v>
      </c>
      <c r="F101" s="64">
        <f>4.821+4.504+2.972</f>
        <v>12.296999999999999</v>
      </c>
      <c r="G101" s="64">
        <v>8.609</v>
      </c>
      <c r="H101" s="64">
        <f>4.274+2.219+0.3</f>
        <v>6.7930000000000001</v>
      </c>
      <c r="I101" s="64">
        <v>6.931</v>
      </c>
      <c r="J101" s="65">
        <v>54020030006</v>
      </c>
      <c r="K101" s="68" t="s">
        <v>2352</v>
      </c>
      <c r="L101" s="68" t="s">
        <v>2353</v>
      </c>
      <c r="M101" s="22" t="s">
        <v>144</v>
      </c>
      <c r="N101" s="85" t="s">
        <v>374</v>
      </c>
      <c r="O101" s="73" t="s">
        <v>507</v>
      </c>
      <c r="P101" s="22" t="s">
        <v>1088</v>
      </c>
      <c r="Q101" s="22" t="s">
        <v>373</v>
      </c>
      <c r="R101" s="22">
        <v>9</v>
      </c>
      <c r="S101" s="21">
        <v>45</v>
      </c>
      <c r="T101" s="22">
        <v>16</v>
      </c>
      <c r="U101" s="21">
        <v>71</v>
      </c>
      <c r="V101" s="21">
        <v>100</v>
      </c>
      <c r="W101" s="21">
        <v>100</v>
      </c>
      <c r="X101" s="21">
        <v>100</v>
      </c>
      <c r="Y101" s="94">
        <v>100</v>
      </c>
      <c r="Z101" s="116">
        <v>100</v>
      </c>
      <c r="AA101" s="87">
        <v>1688023193</v>
      </c>
      <c r="AB101" s="29">
        <v>2021124450</v>
      </c>
      <c r="AC101" s="130">
        <v>1800831442</v>
      </c>
      <c r="AD101" s="131">
        <v>1105255248</v>
      </c>
      <c r="AE101" s="87">
        <f t="shared" ref="AE101:AE148" si="2">SUM(AA101:AD101)</f>
        <v>6615234333</v>
      </c>
      <c r="AF101" s="30" t="s">
        <v>1141</v>
      </c>
    </row>
    <row r="102" spans="1:32" ht="69" x14ac:dyDescent="0.3">
      <c r="A102" s="169"/>
      <c r="B102" s="170">
        <v>0</v>
      </c>
      <c r="C102" s="171"/>
      <c r="D102" s="171">
        <v>0</v>
      </c>
      <c r="E102" s="64">
        <v>0</v>
      </c>
      <c r="F102" s="64">
        <f>4.002-4.002</f>
        <v>0</v>
      </c>
      <c r="G102" s="64">
        <v>0</v>
      </c>
      <c r="H102" s="64">
        <f>4.219-2-2.219</f>
        <v>0</v>
      </c>
      <c r="I102" s="64">
        <v>2.8780000000000001</v>
      </c>
      <c r="J102" s="65">
        <v>54020030007</v>
      </c>
      <c r="K102" s="68" t="s">
        <v>2354</v>
      </c>
      <c r="L102" s="68" t="s">
        <v>2355</v>
      </c>
      <c r="M102" s="22" t="s">
        <v>107</v>
      </c>
      <c r="N102" s="85" t="s">
        <v>374</v>
      </c>
      <c r="O102" s="73" t="s">
        <v>507</v>
      </c>
      <c r="P102" s="22" t="s">
        <v>1089</v>
      </c>
      <c r="Q102" s="22" t="s">
        <v>374</v>
      </c>
      <c r="R102" s="22">
        <v>17</v>
      </c>
      <c r="S102" s="21">
        <v>23</v>
      </c>
      <c r="T102" s="22">
        <v>17</v>
      </c>
      <c r="U102" s="21">
        <v>0</v>
      </c>
      <c r="V102" s="21">
        <v>20</v>
      </c>
      <c r="W102" s="21">
        <v>0</v>
      </c>
      <c r="X102" s="21">
        <v>0</v>
      </c>
      <c r="Y102" s="94">
        <v>0</v>
      </c>
      <c r="Z102" s="116">
        <v>0</v>
      </c>
      <c r="AA102" s="87">
        <v>0</v>
      </c>
      <c r="AB102" s="29">
        <v>0</v>
      </c>
      <c r="AC102" s="130">
        <v>0</v>
      </c>
      <c r="AD102" s="131">
        <v>0</v>
      </c>
      <c r="AE102" s="87">
        <f t="shared" si="2"/>
        <v>0</v>
      </c>
      <c r="AF102" s="30" t="s">
        <v>358</v>
      </c>
    </row>
    <row r="103" spans="1:32" ht="96.6" x14ac:dyDescent="0.3">
      <c r="A103" s="169"/>
      <c r="B103" s="170">
        <v>0</v>
      </c>
      <c r="C103" s="171"/>
      <c r="D103" s="171">
        <v>0</v>
      </c>
      <c r="E103" s="64">
        <v>8.2550000000000008</v>
      </c>
      <c r="F103" s="64">
        <v>3.415</v>
      </c>
      <c r="G103" s="64">
        <v>5.5209999999999999</v>
      </c>
      <c r="H103" s="64">
        <f>3.559+1.7</f>
        <v>5.2590000000000003</v>
      </c>
      <c r="I103" s="64">
        <v>4.133</v>
      </c>
      <c r="J103" s="65">
        <v>54020030008</v>
      </c>
      <c r="K103" s="68" t="s">
        <v>2356</v>
      </c>
      <c r="L103" s="68" t="s">
        <v>2357</v>
      </c>
      <c r="M103" s="22" t="s">
        <v>107</v>
      </c>
      <c r="N103" s="85" t="s">
        <v>374</v>
      </c>
      <c r="O103" s="73" t="s">
        <v>457</v>
      </c>
      <c r="P103" s="22" t="s">
        <v>1090</v>
      </c>
      <c r="Q103" s="22" t="s">
        <v>374</v>
      </c>
      <c r="R103" s="22">
        <v>16</v>
      </c>
      <c r="S103" s="21">
        <v>12</v>
      </c>
      <c r="T103" s="22">
        <v>18</v>
      </c>
      <c r="U103" s="21">
        <v>0</v>
      </c>
      <c r="V103" s="21">
        <v>100</v>
      </c>
      <c r="W103" s="22">
        <v>25</v>
      </c>
      <c r="X103" s="22">
        <v>50</v>
      </c>
      <c r="Y103" s="101">
        <v>75</v>
      </c>
      <c r="Z103" s="125">
        <v>100</v>
      </c>
      <c r="AA103" s="87">
        <v>646353457</v>
      </c>
      <c r="AB103" s="29">
        <v>364806605</v>
      </c>
      <c r="AC103" s="130">
        <v>478240000</v>
      </c>
      <c r="AD103" s="131">
        <v>219970000</v>
      </c>
      <c r="AE103" s="87">
        <f t="shared" si="2"/>
        <v>1709370062</v>
      </c>
      <c r="AF103" s="30" t="s">
        <v>1148</v>
      </c>
    </row>
    <row r="104" spans="1:32" ht="55.2" x14ac:dyDescent="0.3">
      <c r="A104" s="169"/>
      <c r="B104" s="170">
        <v>0</v>
      </c>
      <c r="C104" s="171"/>
      <c r="D104" s="171">
        <v>0</v>
      </c>
      <c r="E104" s="64">
        <v>7.8150000000000004</v>
      </c>
      <c r="F104" s="64">
        <v>3.6519999999999997</v>
      </c>
      <c r="G104" s="64">
        <v>4.8870000000000005</v>
      </c>
      <c r="H104" s="64">
        <f>4.037+2</f>
        <v>6.0369999999999999</v>
      </c>
      <c r="I104" s="64">
        <v>4.5190000000000001</v>
      </c>
      <c r="J104" s="65">
        <v>54020030009</v>
      </c>
      <c r="K104" s="68" t="s">
        <v>2358</v>
      </c>
      <c r="L104" s="68" t="s">
        <v>2359</v>
      </c>
      <c r="M104" s="22" t="s">
        <v>144</v>
      </c>
      <c r="N104" s="85" t="s">
        <v>373</v>
      </c>
      <c r="O104" s="73" t="s">
        <v>381</v>
      </c>
      <c r="P104" s="22" t="s">
        <v>1091</v>
      </c>
      <c r="Q104" s="22" t="s">
        <v>373</v>
      </c>
      <c r="R104" s="22">
        <v>16</v>
      </c>
      <c r="S104" s="21">
        <v>45</v>
      </c>
      <c r="T104" s="22">
        <v>18</v>
      </c>
      <c r="U104" s="21">
        <v>0</v>
      </c>
      <c r="V104" s="21">
        <v>1</v>
      </c>
      <c r="W104" s="21">
        <v>1</v>
      </c>
      <c r="X104" s="21">
        <v>1</v>
      </c>
      <c r="Y104" s="94">
        <v>1</v>
      </c>
      <c r="Z104" s="116">
        <v>1</v>
      </c>
      <c r="AA104" s="87">
        <v>233345309</v>
      </c>
      <c r="AB104" s="29">
        <v>433750000</v>
      </c>
      <c r="AC104" s="130">
        <v>334278725</v>
      </c>
      <c r="AD104" s="131">
        <v>392656771</v>
      </c>
      <c r="AE104" s="87">
        <f t="shared" si="2"/>
        <v>1394030805</v>
      </c>
      <c r="AF104" s="30" t="s">
        <v>372</v>
      </c>
    </row>
    <row r="105" spans="1:32" ht="110.4" x14ac:dyDescent="0.3">
      <c r="A105" s="169"/>
      <c r="B105" s="170">
        <v>0</v>
      </c>
      <c r="C105" s="171"/>
      <c r="D105" s="171">
        <v>0</v>
      </c>
      <c r="E105" s="64">
        <v>0</v>
      </c>
      <c r="F105" s="64">
        <f>10.972-3-3-2-2.972</f>
        <v>0</v>
      </c>
      <c r="G105" s="64">
        <v>0</v>
      </c>
      <c r="H105" s="97">
        <f>8.409-1.7-2.5-0.5-0.8-2-0.909+2+2+0.2+0.4+0.5</f>
        <v>5.1000000000000014</v>
      </c>
      <c r="I105" s="64">
        <v>7.0750000000000002</v>
      </c>
      <c r="J105" s="65">
        <v>54020030010</v>
      </c>
      <c r="K105" s="68" t="s">
        <v>2360</v>
      </c>
      <c r="L105" s="68" t="s">
        <v>2361</v>
      </c>
      <c r="M105" s="22" t="s">
        <v>107</v>
      </c>
      <c r="N105" s="85" t="s">
        <v>374</v>
      </c>
      <c r="O105" s="73" t="s">
        <v>405</v>
      </c>
      <c r="P105" s="22" t="s">
        <v>1092</v>
      </c>
      <c r="Q105" s="22" t="s">
        <v>373</v>
      </c>
      <c r="R105" s="22">
        <v>9</v>
      </c>
      <c r="S105" s="21">
        <v>23</v>
      </c>
      <c r="T105" s="22">
        <v>17</v>
      </c>
      <c r="U105" s="21">
        <v>0</v>
      </c>
      <c r="V105" s="21">
        <v>71</v>
      </c>
      <c r="W105" s="21">
        <v>0</v>
      </c>
      <c r="X105" s="22">
        <v>0</v>
      </c>
      <c r="Y105" s="101">
        <v>0</v>
      </c>
      <c r="Z105" s="127">
        <v>71</v>
      </c>
      <c r="AA105" s="87">
        <v>0</v>
      </c>
      <c r="AB105" s="29">
        <v>0</v>
      </c>
      <c r="AC105" s="130">
        <v>0</v>
      </c>
      <c r="AD105" s="131">
        <v>260000000</v>
      </c>
      <c r="AE105" s="87">
        <f t="shared" si="2"/>
        <v>260000000</v>
      </c>
      <c r="AF105" s="30" t="s">
        <v>354</v>
      </c>
    </row>
    <row r="106" spans="1:32" ht="151.80000000000001" x14ac:dyDescent="0.3">
      <c r="A106" s="169"/>
      <c r="B106" s="170">
        <v>0</v>
      </c>
      <c r="C106" s="171"/>
      <c r="D106" s="171">
        <v>0</v>
      </c>
      <c r="E106" s="64">
        <v>0</v>
      </c>
      <c r="F106" s="64">
        <f>4.237-2-2.237</f>
        <v>0</v>
      </c>
      <c r="G106" s="64">
        <v>0</v>
      </c>
      <c r="H106" s="97">
        <f>4.258-4-0.258+2.5-0.4</f>
        <v>2.1</v>
      </c>
      <c r="I106" s="64">
        <v>3.21</v>
      </c>
      <c r="J106" s="65">
        <v>54020030011</v>
      </c>
      <c r="K106" s="68" t="s">
        <v>2362</v>
      </c>
      <c r="L106" s="68" t="s">
        <v>2363</v>
      </c>
      <c r="M106" s="22" t="s">
        <v>107</v>
      </c>
      <c r="N106" s="85" t="s">
        <v>374</v>
      </c>
      <c r="O106" s="73" t="s">
        <v>1093</v>
      </c>
      <c r="P106" s="22" t="s">
        <v>1094</v>
      </c>
      <c r="Q106" s="22" t="s">
        <v>373</v>
      </c>
      <c r="R106" s="22">
        <v>17</v>
      </c>
      <c r="S106" s="21">
        <v>23</v>
      </c>
      <c r="T106" s="22">
        <v>17</v>
      </c>
      <c r="U106" s="21">
        <v>0</v>
      </c>
      <c r="V106" s="21">
        <v>50</v>
      </c>
      <c r="W106" s="21">
        <v>0</v>
      </c>
      <c r="X106" s="22">
        <v>0</v>
      </c>
      <c r="Y106" s="101">
        <v>0</v>
      </c>
      <c r="Z106" s="127">
        <v>50</v>
      </c>
      <c r="AA106" s="87">
        <v>0</v>
      </c>
      <c r="AB106" s="29">
        <v>0</v>
      </c>
      <c r="AC106" s="130">
        <v>0</v>
      </c>
      <c r="AD106" s="131">
        <v>37680000</v>
      </c>
      <c r="AE106" s="87">
        <f t="shared" si="2"/>
        <v>37680000</v>
      </c>
      <c r="AF106" s="30" t="s">
        <v>354</v>
      </c>
    </row>
    <row r="107" spans="1:32" ht="82.8" x14ac:dyDescent="0.3">
      <c r="A107" s="169"/>
      <c r="B107" s="170">
        <v>0</v>
      </c>
      <c r="C107" s="171"/>
      <c r="D107" s="171">
        <v>0</v>
      </c>
      <c r="E107" s="64">
        <v>9.5310000000000006</v>
      </c>
      <c r="F107" s="64">
        <f>8.279+2+2</f>
        <v>12.279</v>
      </c>
      <c r="G107" s="64">
        <v>7.2690000000000001</v>
      </c>
      <c r="H107" s="64">
        <f>8.303-1.5</f>
        <v>6.8030000000000008</v>
      </c>
      <c r="I107" s="64">
        <v>5.9630000000000001</v>
      </c>
      <c r="J107" s="65">
        <v>54020030012</v>
      </c>
      <c r="K107" s="68" t="s">
        <v>2364</v>
      </c>
      <c r="L107" s="68" t="s">
        <v>2365</v>
      </c>
      <c r="M107" s="22" t="s">
        <v>107</v>
      </c>
      <c r="N107" s="85" t="s">
        <v>374</v>
      </c>
      <c r="O107" s="73" t="s">
        <v>405</v>
      </c>
      <c r="P107" s="22" t="s">
        <v>1095</v>
      </c>
      <c r="Q107" s="22" t="s">
        <v>373</v>
      </c>
      <c r="R107" s="22">
        <v>17</v>
      </c>
      <c r="S107" s="21">
        <v>23</v>
      </c>
      <c r="T107" s="22">
        <v>17</v>
      </c>
      <c r="U107" s="21">
        <v>0</v>
      </c>
      <c r="V107" s="21">
        <v>3.5</v>
      </c>
      <c r="W107" s="21">
        <v>1</v>
      </c>
      <c r="X107" s="22">
        <v>1.5</v>
      </c>
      <c r="Y107" s="101">
        <v>2.5</v>
      </c>
      <c r="Z107" s="126">
        <v>3.5</v>
      </c>
      <c r="AA107" s="87">
        <v>1012000000</v>
      </c>
      <c r="AB107" s="29">
        <v>2001987663</v>
      </c>
      <c r="AC107" s="130">
        <v>662970880</v>
      </c>
      <c r="AD107" s="131">
        <v>423533600</v>
      </c>
      <c r="AE107" s="87">
        <f t="shared" si="2"/>
        <v>4100492143</v>
      </c>
      <c r="AF107" s="30" t="s">
        <v>354</v>
      </c>
    </row>
    <row r="108" spans="1:32" ht="82.8" x14ac:dyDescent="0.3">
      <c r="A108" s="169"/>
      <c r="B108" s="170">
        <v>0</v>
      </c>
      <c r="C108" s="171"/>
      <c r="D108" s="171">
        <v>0</v>
      </c>
      <c r="E108" s="64">
        <v>21.468</v>
      </c>
      <c r="F108" s="64">
        <f>6.382+4.002+2.237-2.237</f>
        <v>10.384</v>
      </c>
      <c r="G108" s="64">
        <v>14.155000000000001</v>
      </c>
      <c r="H108" s="64">
        <f>7.245+0.4</f>
        <v>7.6450000000000005</v>
      </c>
      <c r="I108" s="64">
        <v>9.9580000000000002</v>
      </c>
      <c r="J108" s="65">
        <v>54020030013</v>
      </c>
      <c r="K108" s="68" t="s">
        <v>2366</v>
      </c>
      <c r="L108" s="68" t="s">
        <v>2367</v>
      </c>
      <c r="M108" s="22" t="s">
        <v>107</v>
      </c>
      <c r="N108" s="85" t="s">
        <v>374</v>
      </c>
      <c r="O108" s="73" t="s">
        <v>405</v>
      </c>
      <c r="P108" s="22" t="s">
        <v>1096</v>
      </c>
      <c r="Q108" s="22" t="s">
        <v>373</v>
      </c>
      <c r="R108" s="22">
        <v>17</v>
      </c>
      <c r="S108" s="21">
        <v>23</v>
      </c>
      <c r="T108" s="22">
        <v>17</v>
      </c>
      <c r="U108" s="21">
        <v>0</v>
      </c>
      <c r="V108" s="21">
        <v>10</v>
      </c>
      <c r="W108" s="21">
        <v>1</v>
      </c>
      <c r="X108" s="22">
        <v>4</v>
      </c>
      <c r="Y108" s="101">
        <v>8</v>
      </c>
      <c r="Z108" s="117">
        <v>10</v>
      </c>
      <c r="AA108" s="87">
        <v>11598000000</v>
      </c>
      <c r="AB108" s="29">
        <v>3938208800</v>
      </c>
      <c r="AC108" s="130">
        <v>5470115840</v>
      </c>
      <c r="AD108" s="131">
        <v>1344578200</v>
      </c>
      <c r="AE108" s="87">
        <f t="shared" si="2"/>
        <v>22350902840</v>
      </c>
      <c r="AF108" s="30" t="s">
        <v>354</v>
      </c>
    </row>
    <row r="109" spans="1:32" ht="82.8" x14ac:dyDescent="0.3">
      <c r="A109" s="169"/>
      <c r="B109" s="170">
        <v>0</v>
      </c>
      <c r="C109" s="171"/>
      <c r="D109" s="171">
        <v>0</v>
      </c>
      <c r="E109" s="64">
        <v>0</v>
      </c>
      <c r="F109" s="64">
        <v>7.0459999999999994</v>
      </c>
      <c r="G109" s="64">
        <v>4.2669999999999995</v>
      </c>
      <c r="H109" s="64">
        <f>10.893-5-0.4-0.4</f>
        <v>5.093</v>
      </c>
      <c r="I109" s="64">
        <v>7.0519999999999996</v>
      </c>
      <c r="J109" s="65">
        <v>54020030014</v>
      </c>
      <c r="K109" s="68" t="s">
        <v>2368</v>
      </c>
      <c r="L109" s="68" t="s">
        <v>2369</v>
      </c>
      <c r="M109" s="22" t="s">
        <v>107</v>
      </c>
      <c r="N109" s="85" t="s">
        <v>373</v>
      </c>
      <c r="O109" s="73" t="s">
        <v>408</v>
      </c>
      <c r="P109" s="22" t="s">
        <v>1097</v>
      </c>
      <c r="Q109" s="22" t="s">
        <v>373</v>
      </c>
      <c r="R109" s="22">
        <v>17</v>
      </c>
      <c r="S109" s="21">
        <v>23</v>
      </c>
      <c r="T109" s="22">
        <v>17</v>
      </c>
      <c r="U109" s="21">
        <v>27</v>
      </c>
      <c r="V109" s="21">
        <v>41</v>
      </c>
      <c r="W109" s="21">
        <v>0</v>
      </c>
      <c r="X109" s="22">
        <v>35</v>
      </c>
      <c r="Y109" s="101">
        <v>37</v>
      </c>
      <c r="Z109" s="117">
        <v>41</v>
      </c>
      <c r="AA109" s="87">
        <v>0</v>
      </c>
      <c r="AB109" s="29">
        <v>214149732</v>
      </c>
      <c r="AC109" s="130">
        <v>150883200</v>
      </c>
      <c r="AD109" s="131">
        <v>134561700</v>
      </c>
      <c r="AE109" s="87">
        <f t="shared" si="2"/>
        <v>499594632</v>
      </c>
      <c r="AF109" s="30" t="s">
        <v>354</v>
      </c>
    </row>
    <row r="110" spans="1:32" ht="69" x14ac:dyDescent="0.3">
      <c r="A110" s="169"/>
      <c r="B110" s="170">
        <v>0</v>
      </c>
      <c r="C110" s="171"/>
      <c r="D110" s="171">
        <v>0</v>
      </c>
      <c r="E110" s="64">
        <v>0</v>
      </c>
      <c r="F110" s="64">
        <f>4.033-4.033</f>
        <v>0</v>
      </c>
      <c r="G110" s="64">
        <v>0</v>
      </c>
      <c r="H110" s="64">
        <f>4.142-1.142-1.5-1.5</f>
        <v>0</v>
      </c>
      <c r="I110" s="64">
        <v>3.113</v>
      </c>
      <c r="J110" s="65">
        <v>54020030015</v>
      </c>
      <c r="K110" s="68" t="s">
        <v>2370</v>
      </c>
      <c r="L110" s="68" t="s">
        <v>2371</v>
      </c>
      <c r="M110" s="22" t="s">
        <v>107</v>
      </c>
      <c r="N110" s="85" t="s">
        <v>374</v>
      </c>
      <c r="O110" s="73" t="s">
        <v>507</v>
      </c>
      <c r="P110" s="22" t="s">
        <v>1098</v>
      </c>
      <c r="Q110" s="22" t="s">
        <v>374</v>
      </c>
      <c r="R110" s="22">
        <v>17</v>
      </c>
      <c r="S110" s="21">
        <v>23</v>
      </c>
      <c r="T110" s="22">
        <v>17</v>
      </c>
      <c r="U110" s="21">
        <v>0</v>
      </c>
      <c r="V110" s="21">
        <v>100</v>
      </c>
      <c r="W110" s="21">
        <v>0</v>
      </c>
      <c r="X110" s="21">
        <v>0</v>
      </c>
      <c r="Y110" s="94">
        <v>0</v>
      </c>
      <c r="Z110" s="116">
        <v>0</v>
      </c>
      <c r="AA110" s="87">
        <v>0</v>
      </c>
      <c r="AB110" s="29">
        <v>0</v>
      </c>
      <c r="AC110" s="130">
        <v>0</v>
      </c>
      <c r="AD110" s="131">
        <v>0</v>
      </c>
      <c r="AE110" s="87">
        <f t="shared" si="2"/>
        <v>0</v>
      </c>
      <c r="AF110" s="30" t="s">
        <v>358</v>
      </c>
    </row>
    <row r="111" spans="1:32" ht="82.8" x14ac:dyDescent="0.3">
      <c r="A111" s="169"/>
      <c r="B111" s="170">
        <v>0</v>
      </c>
      <c r="C111" s="171"/>
      <c r="D111" s="171">
        <v>0</v>
      </c>
      <c r="E111" s="64">
        <v>0</v>
      </c>
      <c r="F111" s="64">
        <f>3.283-3.283</f>
        <v>0</v>
      </c>
      <c r="G111" s="64">
        <v>4.3049999999999997</v>
      </c>
      <c r="H111" s="64">
        <f>0+4-2</f>
        <v>2</v>
      </c>
      <c r="I111" s="64">
        <v>2.4710000000000001</v>
      </c>
      <c r="J111" s="65">
        <v>54020030016</v>
      </c>
      <c r="K111" s="68" t="s">
        <v>2372</v>
      </c>
      <c r="L111" s="68" t="s">
        <v>2373</v>
      </c>
      <c r="M111" s="22" t="s">
        <v>107</v>
      </c>
      <c r="N111" s="85" t="s">
        <v>374</v>
      </c>
      <c r="O111" s="73" t="s">
        <v>507</v>
      </c>
      <c r="P111" s="22" t="s">
        <v>1099</v>
      </c>
      <c r="Q111" s="22" t="s">
        <v>373</v>
      </c>
      <c r="R111" s="22">
        <v>17</v>
      </c>
      <c r="S111" s="21">
        <v>45</v>
      </c>
      <c r="T111" s="22">
        <v>17</v>
      </c>
      <c r="U111" s="21">
        <v>50</v>
      </c>
      <c r="V111" s="21">
        <v>75</v>
      </c>
      <c r="W111" s="21">
        <v>0</v>
      </c>
      <c r="X111" s="21">
        <v>0</v>
      </c>
      <c r="Y111" s="94">
        <v>75</v>
      </c>
      <c r="Z111" s="128">
        <v>100</v>
      </c>
      <c r="AA111" s="87">
        <v>0</v>
      </c>
      <c r="AB111" s="29">
        <v>0</v>
      </c>
      <c r="AC111" s="130">
        <v>277865714</v>
      </c>
      <c r="AD111" s="29">
        <v>37210000</v>
      </c>
      <c r="AE111" s="87">
        <f t="shared" si="2"/>
        <v>315075714</v>
      </c>
      <c r="AF111" s="30" t="s">
        <v>363</v>
      </c>
    </row>
    <row r="112" spans="1:32" ht="55.2" x14ac:dyDescent="0.3">
      <c r="A112" s="169"/>
      <c r="B112" s="170">
        <v>0</v>
      </c>
      <c r="C112" s="171"/>
      <c r="D112" s="171">
        <v>0</v>
      </c>
      <c r="E112" s="64">
        <v>0</v>
      </c>
      <c r="F112" s="64">
        <f>3.752-3.752</f>
        <v>0</v>
      </c>
      <c r="G112" s="64">
        <v>3.3</v>
      </c>
      <c r="H112" s="64">
        <f>3.383+1.5+0.8</f>
        <v>5.6829999999999998</v>
      </c>
      <c r="I112" s="64">
        <v>1.784</v>
      </c>
      <c r="J112" s="65">
        <v>54020030017</v>
      </c>
      <c r="K112" s="68" t="s">
        <v>2374</v>
      </c>
      <c r="L112" s="68" t="s">
        <v>2375</v>
      </c>
      <c r="M112" s="22" t="s">
        <v>107</v>
      </c>
      <c r="N112" s="85" t="s">
        <v>373</v>
      </c>
      <c r="O112" s="73" t="s">
        <v>381</v>
      </c>
      <c r="P112" s="22" t="s">
        <v>1100</v>
      </c>
      <c r="Q112" s="22" t="s">
        <v>373</v>
      </c>
      <c r="R112" s="22">
        <v>17</v>
      </c>
      <c r="S112" s="21">
        <v>4</v>
      </c>
      <c r="T112" s="22">
        <v>17</v>
      </c>
      <c r="U112" s="21">
        <v>83</v>
      </c>
      <c r="V112" s="21">
        <v>100</v>
      </c>
      <c r="W112" s="21">
        <v>0</v>
      </c>
      <c r="X112" s="21">
        <v>0</v>
      </c>
      <c r="Y112" s="94">
        <v>93</v>
      </c>
      <c r="Z112" s="116">
        <v>100</v>
      </c>
      <c r="AA112" s="87">
        <v>0</v>
      </c>
      <c r="AB112" s="29">
        <v>0</v>
      </c>
      <c r="AC112" s="130">
        <v>60000000</v>
      </c>
      <c r="AD112" s="29">
        <v>300000000</v>
      </c>
      <c r="AE112" s="87">
        <f t="shared" si="2"/>
        <v>360000000</v>
      </c>
      <c r="AF112" s="30" t="s">
        <v>363</v>
      </c>
    </row>
    <row r="113" spans="1:32" ht="55.2" x14ac:dyDescent="0.3">
      <c r="A113" s="169"/>
      <c r="B113" s="170">
        <v>0</v>
      </c>
      <c r="C113" s="171"/>
      <c r="D113" s="171">
        <v>0</v>
      </c>
      <c r="E113" s="64">
        <v>0</v>
      </c>
      <c r="F113" s="64">
        <v>4.0529999999999999</v>
      </c>
      <c r="G113" s="64">
        <v>3.8180000000000001</v>
      </c>
      <c r="H113" s="64">
        <f>3.812+1.5</f>
        <v>5.3119999999999994</v>
      </c>
      <c r="I113" s="64">
        <v>2.9209999999999998</v>
      </c>
      <c r="J113" s="65">
        <v>54020030018</v>
      </c>
      <c r="K113" s="68" t="s">
        <v>2376</v>
      </c>
      <c r="L113" s="68" t="s">
        <v>2377</v>
      </c>
      <c r="M113" s="22" t="s">
        <v>803</v>
      </c>
      <c r="N113" s="85" t="s">
        <v>373</v>
      </c>
      <c r="O113" s="73" t="s">
        <v>381</v>
      </c>
      <c r="P113" s="22" t="s">
        <v>1101</v>
      </c>
      <c r="Q113" s="22" t="s">
        <v>373</v>
      </c>
      <c r="R113" s="22">
        <v>17</v>
      </c>
      <c r="S113" s="21">
        <v>33</v>
      </c>
      <c r="T113" s="22">
        <v>5</v>
      </c>
      <c r="U113" s="21">
        <v>0</v>
      </c>
      <c r="V113" s="21">
        <v>1</v>
      </c>
      <c r="W113" s="21">
        <v>0</v>
      </c>
      <c r="X113" s="21">
        <v>1</v>
      </c>
      <c r="Y113" s="94">
        <v>1</v>
      </c>
      <c r="Z113" s="116">
        <v>1</v>
      </c>
      <c r="AA113" s="87">
        <v>0</v>
      </c>
      <c r="AB113" s="29">
        <v>520000168</v>
      </c>
      <c r="AC113" s="130">
        <v>250705148</v>
      </c>
      <c r="AD113" s="131">
        <v>250705148</v>
      </c>
      <c r="AE113" s="87">
        <f t="shared" si="2"/>
        <v>1021410464</v>
      </c>
      <c r="AF113" s="30" t="s">
        <v>355</v>
      </c>
    </row>
    <row r="114" spans="1:32" ht="55.2" x14ac:dyDescent="0.3">
      <c r="A114" s="169"/>
      <c r="B114" s="170">
        <v>0</v>
      </c>
      <c r="C114" s="171"/>
      <c r="D114" s="171">
        <v>0</v>
      </c>
      <c r="E114" s="64">
        <v>10.119</v>
      </c>
      <c r="F114" s="64">
        <f>5.519+3.752+3.283+3</f>
        <v>15.554</v>
      </c>
      <c r="G114" s="64">
        <v>9.2720000000000002</v>
      </c>
      <c r="H114" s="64">
        <f>4.061+1.5+0.909</f>
        <v>6.47</v>
      </c>
      <c r="I114" s="64">
        <v>6.2389999999999999</v>
      </c>
      <c r="J114" s="65">
        <v>54020030019</v>
      </c>
      <c r="K114" s="68" t="s">
        <v>2378</v>
      </c>
      <c r="L114" s="68" t="s">
        <v>2379</v>
      </c>
      <c r="M114" s="22" t="s">
        <v>107</v>
      </c>
      <c r="N114" s="85" t="s">
        <v>373</v>
      </c>
      <c r="O114" s="73" t="s">
        <v>381</v>
      </c>
      <c r="P114" s="22" t="s">
        <v>1102</v>
      </c>
      <c r="Q114" s="22" t="s">
        <v>373</v>
      </c>
      <c r="R114" s="22">
        <v>17</v>
      </c>
      <c r="S114" s="21">
        <v>45</v>
      </c>
      <c r="T114" s="22">
        <v>17</v>
      </c>
      <c r="U114" s="21">
        <v>0</v>
      </c>
      <c r="V114" s="21">
        <v>1</v>
      </c>
      <c r="W114" s="48">
        <v>0.2</v>
      </c>
      <c r="X114" s="21">
        <v>1</v>
      </c>
      <c r="Y114" s="94">
        <v>1</v>
      </c>
      <c r="Z114" s="116">
        <v>1</v>
      </c>
      <c r="AA114" s="87">
        <v>1180532978</v>
      </c>
      <c r="AB114" s="29">
        <v>3186006057</v>
      </c>
      <c r="AC114" s="130">
        <v>1500000000</v>
      </c>
      <c r="AD114" s="29">
        <v>842799000</v>
      </c>
      <c r="AE114" s="87">
        <f t="shared" si="2"/>
        <v>6709338035</v>
      </c>
      <c r="AF114" s="30" t="s">
        <v>363</v>
      </c>
    </row>
    <row r="115" spans="1:32" ht="96.6" x14ac:dyDescent="0.3">
      <c r="A115" s="169"/>
      <c r="B115" s="170">
        <v>0</v>
      </c>
      <c r="C115" s="171"/>
      <c r="D115" s="171">
        <v>0</v>
      </c>
      <c r="E115" s="64">
        <v>13.819000000000001</v>
      </c>
      <c r="F115" s="64">
        <f>4.674+4.033+3</f>
        <v>11.707000000000001</v>
      </c>
      <c r="G115" s="64">
        <v>6.995000000000001</v>
      </c>
      <c r="H115" s="64">
        <f>5.841+2+0.4-0.2</f>
        <v>8.0410000000000004</v>
      </c>
      <c r="I115" s="64">
        <v>8.2390000000000008</v>
      </c>
      <c r="J115" s="65">
        <v>54020030020</v>
      </c>
      <c r="K115" s="68" t="s">
        <v>2380</v>
      </c>
      <c r="L115" s="68" t="s">
        <v>2381</v>
      </c>
      <c r="M115" s="22" t="s">
        <v>144</v>
      </c>
      <c r="N115" s="85" t="s">
        <v>373</v>
      </c>
      <c r="O115" s="73" t="s">
        <v>381</v>
      </c>
      <c r="P115" s="22" t="s">
        <v>1103</v>
      </c>
      <c r="Q115" s="22" t="s">
        <v>373</v>
      </c>
      <c r="R115" s="22">
        <v>17</v>
      </c>
      <c r="S115" s="21">
        <v>45</v>
      </c>
      <c r="T115" s="22">
        <v>18</v>
      </c>
      <c r="U115" s="21">
        <v>0</v>
      </c>
      <c r="V115" s="21">
        <v>1</v>
      </c>
      <c r="W115" s="21">
        <v>1</v>
      </c>
      <c r="X115" s="21">
        <v>1</v>
      </c>
      <c r="Y115" s="94">
        <v>1</v>
      </c>
      <c r="Z115" s="116">
        <v>1</v>
      </c>
      <c r="AA115" s="87">
        <v>1954349081</v>
      </c>
      <c r="AB115" s="29">
        <v>2184400002</v>
      </c>
      <c r="AC115" s="130">
        <v>1561096000</v>
      </c>
      <c r="AD115" s="131">
        <v>1512257586</v>
      </c>
      <c r="AE115" s="87">
        <f t="shared" si="2"/>
        <v>7212102669</v>
      </c>
      <c r="AF115" s="30" t="s">
        <v>372</v>
      </c>
    </row>
    <row r="116" spans="1:32" ht="69" x14ac:dyDescent="0.3">
      <c r="A116" s="169"/>
      <c r="B116" s="170">
        <v>0</v>
      </c>
      <c r="C116" s="171" t="s">
        <v>2382</v>
      </c>
      <c r="D116" s="171">
        <v>15.120000000000001</v>
      </c>
      <c r="E116" s="64">
        <v>26.981000000000002</v>
      </c>
      <c r="F116" s="64">
        <f>9.699+2.38</f>
        <v>12.079000000000001</v>
      </c>
      <c r="G116" s="64">
        <v>9.843</v>
      </c>
      <c r="H116" s="64">
        <f>11.968+1</f>
        <v>12.968</v>
      </c>
      <c r="I116" s="64">
        <v>14.622999999999999</v>
      </c>
      <c r="J116" s="65">
        <v>54020040001</v>
      </c>
      <c r="K116" s="68" t="s">
        <v>2383</v>
      </c>
      <c r="L116" s="68" t="s">
        <v>2384</v>
      </c>
      <c r="M116" s="22" t="s">
        <v>107</v>
      </c>
      <c r="N116" s="85" t="s">
        <v>1104</v>
      </c>
      <c r="O116" s="73" t="s">
        <v>381</v>
      </c>
      <c r="P116" s="22" t="s">
        <v>1105</v>
      </c>
      <c r="Q116" s="22" t="s">
        <v>373</v>
      </c>
      <c r="R116" s="22">
        <v>17</v>
      </c>
      <c r="S116" s="21">
        <v>13</v>
      </c>
      <c r="T116" s="22">
        <v>17</v>
      </c>
      <c r="U116" s="21">
        <v>457708</v>
      </c>
      <c r="V116" s="21">
        <v>800282</v>
      </c>
      <c r="W116" s="21">
        <v>98295</v>
      </c>
      <c r="X116" s="21">
        <v>287246</v>
      </c>
      <c r="Y116" s="94">
        <v>534968</v>
      </c>
      <c r="Z116" s="116">
        <v>800282</v>
      </c>
      <c r="AA116" s="87">
        <v>3175396000</v>
      </c>
      <c r="AB116" s="29">
        <v>4926000000</v>
      </c>
      <c r="AC116" s="130">
        <v>5048930211</v>
      </c>
      <c r="AD116" s="131">
        <v>4184967831</v>
      </c>
      <c r="AE116" s="87">
        <f t="shared" si="2"/>
        <v>17335294042</v>
      </c>
      <c r="AF116" s="30" t="s">
        <v>1149</v>
      </c>
    </row>
    <row r="117" spans="1:32" ht="110.4" x14ac:dyDescent="0.3">
      <c r="A117" s="169"/>
      <c r="B117" s="170">
        <v>0</v>
      </c>
      <c r="C117" s="171"/>
      <c r="D117" s="171">
        <v>0</v>
      </c>
      <c r="E117" s="64">
        <v>12.885</v>
      </c>
      <c r="F117" s="64">
        <f>10.615+3</f>
        <v>13.615</v>
      </c>
      <c r="G117" s="64">
        <v>10.872999999999999</v>
      </c>
      <c r="H117" s="64">
        <f>11.962+2.5</f>
        <v>14.462</v>
      </c>
      <c r="I117" s="64">
        <v>11.583</v>
      </c>
      <c r="J117" s="65">
        <v>54020040002</v>
      </c>
      <c r="K117" s="68" t="s">
        <v>2385</v>
      </c>
      <c r="L117" s="68" t="s">
        <v>2386</v>
      </c>
      <c r="M117" s="22" t="s">
        <v>107</v>
      </c>
      <c r="N117" s="85" t="s">
        <v>1104</v>
      </c>
      <c r="O117" s="73" t="s">
        <v>457</v>
      </c>
      <c r="P117" s="22" t="s">
        <v>1106</v>
      </c>
      <c r="Q117" s="22" t="s">
        <v>373</v>
      </c>
      <c r="R117" s="22">
        <v>17</v>
      </c>
      <c r="S117" s="21">
        <v>13</v>
      </c>
      <c r="T117" s="22">
        <v>17</v>
      </c>
      <c r="U117" s="21">
        <v>3821372</v>
      </c>
      <c r="V117" s="21">
        <v>5098227</v>
      </c>
      <c r="W117" s="21">
        <v>1138295</v>
      </c>
      <c r="X117" s="21">
        <v>2374663</v>
      </c>
      <c r="Y117" s="94">
        <v>3693506</v>
      </c>
      <c r="Z117" s="116">
        <v>5098227</v>
      </c>
      <c r="AA117" s="87">
        <v>1468757293</v>
      </c>
      <c r="AB117" s="29">
        <v>5624000000</v>
      </c>
      <c r="AC117" s="130">
        <v>7982869648</v>
      </c>
      <c r="AD117" s="131">
        <v>5476522671</v>
      </c>
      <c r="AE117" s="87">
        <f t="shared" si="2"/>
        <v>20552149612</v>
      </c>
      <c r="AF117" s="30" t="s">
        <v>1149</v>
      </c>
    </row>
    <row r="118" spans="1:32" ht="151.80000000000001" x14ac:dyDescent="0.3">
      <c r="A118" s="169"/>
      <c r="B118" s="170">
        <v>0</v>
      </c>
      <c r="C118" s="171"/>
      <c r="D118" s="171">
        <v>0</v>
      </c>
      <c r="E118" s="64">
        <v>16.265999999999998</v>
      </c>
      <c r="F118" s="64">
        <f>16.255+3</f>
        <v>19.254999999999999</v>
      </c>
      <c r="G118" s="64">
        <f>15.775-4+2</f>
        <v>13.775</v>
      </c>
      <c r="H118" s="64">
        <v>15.334999999999999</v>
      </c>
      <c r="I118" s="64">
        <v>18.033000000000001</v>
      </c>
      <c r="J118" s="65">
        <v>54020040003</v>
      </c>
      <c r="K118" s="68" t="s">
        <v>2387</v>
      </c>
      <c r="L118" s="68" t="s">
        <v>2388</v>
      </c>
      <c r="M118" s="22" t="s">
        <v>107</v>
      </c>
      <c r="N118" s="85" t="s">
        <v>374</v>
      </c>
      <c r="O118" s="73" t="s">
        <v>405</v>
      </c>
      <c r="P118" s="22" t="s">
        <v>1107</v>
      </c>
      <c r="Q118" s="22" t="s">
        <v>373</v>
      </c>
      <c r="R118" s="22">
        <v>17</v>
      </c>
      <c r="S118" s="21">
        <v>13</v>
      </c>
      <c r="T118" s="22">
        <v>17</v>
      </c>
      <c r="U118" s="21">
        <v>72.5</v>
      </c>
      <c r="V118" s="21">
        <v>80</v>
      </c>
      <c r="W118" s="21">
        <v>74</v>
      </c>
      <c r="X118" s="21">
        <v>76</v>
      </c>
      <c r="Y118" s="94">
        <v>78</v>
      </c>
      <c r="Z118" s="116">
        <v>80</v>
      </c>
      <c r="AA118" s="87">
        <v>3159913667</v>
      </c>
      <c r="AB118" s="29">
        <v>10190000000</v>
      </c>
      <c r="AC118" s="130">
        <v>11742663259</v>
      </c>
      <c r="AD118" s="131">
        <v>10230978564</v>
      </c>
      <c r="AE118" s="87">
        <f t="shared" si="2"/>
        <v>35323555490</v>
      </c>
      <c r="AF118" s="30" t="s">
        <v>1149</v>
      </c>
    </row>
    <row r="119" spans="1:32" ht="96.6" x14ac:dyDescent="0.3">
      <c r="A119" s="169"/>
      <c r="B119" s="170">
        <v>0</v>
      </c>
      <c r="C119" s="171"/>
      <c r="D119" s="171">
        <v>0</v>
      </c>
      <c r="E119" s="64">
        <v>0</v>
      </c>
      <c r="F119" s="64">
        <f>11.4+3</f>
        <v>14.4</v>
      </c>
      <c r="G119" s="64">
        <v>8.4809999999999999</v>
      </c>
      <c r="H119" s="64">
        <v>0</v>
      </c>
      <c r="I119" s="64">
        <v>4.97</v>
      </c>
      <c r="J119" s="65">
        <v>54020040004</v>
      </c>
      <c r="K119" s="68" t="s">
        <v>2389</v>
      </c>
      <c r="L119" s="68" t="s">
        <v>2390</v>
      </c>
      <c r="M119" s="22" t="s">
        <v>107</v>
      </c>
      <c r="N119" s="85" t="s">
        <v>373</v>
      </c>
      <c r="O119" s="73" t="s">
        <v>1108</v>
      </c>
      <c r="P119" s="22" t="s">
        <v>1109</v>
      </c>
      <c r="Q119" s="22" t="s">
        <v>373</v>
      </c>
      <c r="R119" s="22">
        <v>17</v>
      </c>
      <c r="S119" s="21">
        <v>13</v>
      </c>
      <c r="T119" s="22">
        <v>17</v>
      </c>
      <c r="U119" s="21">
        <v>0</v>
      </c>
      <c r="V119" s="21">
        <v>1</v>
      </c>
      <c r="W119" s="21">
        <v>0</v>
      </c>
      <c r="X119" s="33">
        <v>1</v>
      </c>
      <c r="Y119" s="103">
        <v>1</v>
      </c>
      <c r="Z119" s="116">
        <v>0</v>
      </c>
      <c r="AA119" s="87">
        <v>0</v>
      </c>
      <c r="AB119" s="29">
        <v>5674000000</v>
      </c>
      <c r="AC119" s="130">
        <v>3988432000</v>
      </c>
      <c r="AD119" s="131">
        <v>0</v>
      </c>
      <c r="AE119" s="87">
        <f t="shared" si="2"/>
        <v>9662432000</v>
      </c>
      <c r="AF119" s="30" t="s">
        <v>1149</v>
      </c>
    </row>
    <row r="120" spans="1:32" ht="27.6" x14ac:dyDescent="0.3">
      <c r="A120" s="169"/>
      <c r="B120" s="170">
        <v>0</v>
      </c>
      <c r="C120" s="171"/>
      <c r="D120" s="171">
        <v>0</v>
      </c>
      <c r="E120" s="64">
        <v>0</v>
      </c>
      <c r="F120" s="64">
        <f>11.38-2.38-3-3-3</f>
        <v>0</v>
      </c>
      <c r="G120" s="64">
        <f>0+4+1.79</f>
        <v>5.79</v>
      </c>
      <c r="H120" s="64">
        <v>0</v>
      </c>
      <c r="I120" s="64">
        <v>1.845</v>
      </c>
      <c r="J120" s="65">
        <v>54020040005</v>
      </c>
      <c r="K120" s="68" t="s">
        <v>2391</v>
      </c>
      <c r="L120" s="68" t="s">
        <v>2392</v>
      </c>
      <c r="M120" s="22" t="s">
        <v>107</v>
      </c>
      <c r="N120" s="85" t="s">
        <v>374</v>
      </c>
      <c r="O120" s="73" t="s">
        <v>381</v>
      </c>
      <c r="P120" s="22" t="s">
        <v>1110</v>
      </c>
      <c r="Q120" s="22" t="s">
        <v>373</v>
      </c>
      <c r="R120" s="22">
        <v>17</v>
      </c>
      <c r="S120" s="21">
        <v>4</v>
      </c>
      <c r="T120" s="22">
        <v>17</v>
      </c>
      <c r="U120" s="21">
        <v>0</v>
      </c>
      <c r="V120" s="21">
        <v>100</v>
      </c>
      <c r="W120" s="21">
        <v>0</v>
      </c>
      <c r="X120" s="21">
        <v>0</v>
      </c>
      <c r="Y120" s="94">
        <v>100</v>
      </c>
      <c r="Z120" s="116">
        <v>0</v>
      </c>
      <c r="AA120" s="87">
        <v>0</v>
      </c>
      <c r="AB120" s="29">
        <v>0</v>
      </c>
      <c r="AC120" s="130">
        <v>1879000000</v>
      </c>
      <c r="AD120" s="131">
        <v>0</v>
      </c>
      <c r="AE120" s="87">
        <f t="shared" si="2"/>
        <v>1879000000</v>
      </c>
      <c r="AF120" s="30" t="s">
        <v>1149</v>
      </c>
    </row>
    <row r="121" spans="1:32" ht="41.4" x14ac:dyDescent="0.3">
      <c r="A121" s="169"/>
      <c r="B121" s="170">
        <v>0</v>
      </c>
      <c r="C121" s="171"/>
      <c r="D121" s="171">
        <v>0</v>
      </c>
      <c r="E121" s="64">
        <v>15.250999999999999</v>
      </c>
      <c r="F121" s="64">
        <v>9.141</v>
      </c>
      <c r="G121" s="64">
        <v>9.98</v>
      </c>
      <c r="H121" s="64">
        <f>11.711+2</f>
        <v>13.711</v>
      </c>
      <c r="I121" s="64">
        <v>11.521000000000001</v>
      </c>
      <c r="J121" s="65">
        <v>54020040006</v>
      </c>
      <c r="K121" s="68" t="s">
        <v>2393</v>
      </c>
      <c r="L121" s="68" t="s">
        <v>2394</v>
      </c>
      <c r="M121" s="22" t="s">
        <v>107</v>
      </c>
      <c r="N121" s="85" t="s">
        <v>373</v>
      </c>
      <c r="O121" s="73" t="s">
        <v>381</v>
      </c>
      <c r="P121" s="22" t="s">
        <v>1111</v>
      </c>
      <c r="Q121" s="22" t="s">
        <v>373</v>
      </c>
      <c r="R121" s="22">
        <v>17</v>
      </c>
      <c r="S121" s="21">
        <v>4</v>
      </c>
      <c r="T121" s="22">
        <v>17</v>
      </c>
      <c r="U121" s="21">
        <v>85055</v>
      </c>
      <c r="V121" s="21">
        <v>429055</v>
      </c>
      <c r="W121" s="21">
        <v>171055</v>
      </c>
      <c r="X121" s="21">
        <v>257055</v>
      </c>
      <c r="Y121" s="94">
        <v>343055</v>
      </c>
      <c r="Z121" s="116">
        <v>429055</v>
      </c>
      <c r="AA121" s="87">
        <v>2711966395</v>
      </c>
      <c r="AB121" s="29">
        <v>3824000000</v>
      </c>
      <c r="AC121" s="130">
        <v>4773035742</v>
      </c>
      <c r="AD121" s="131">
        <v>3355428689.3614001</v>
      </c>
      <c r="AE121" s="87">
        <f t="shared" si="2"/>
        <v>14664430826.361401</v>
      </c>
      <c r="AF121" s="30" t="s">
        <v>1149</v>
      </c>
    </row>
    <row r="122" spans="1:32" ht="41.4" x14ac:dyDescent="0.3">
      <c r="A122" s="169"/>
      <c r="B122" s="170">
        <v>0</v>
      </c>
      <c r="C122" s="171"/>
      <c r="D122" s="171">
        <v>0</v>
      </c>
      <c r="E122" s="64">
        <v>0</v>
      </c>
      <c r="F122" s="64">
        <v>11.459999999999999</v>
      </c>
      <c r="G122" s="64">
        <v>7.7310000000000008</v>
      </c>
      <c r="H122" s="64">
        <f>7.977+1</f>
        <v>8.9770000000000003</v>
      </c>
      <c r="I122" s="64">
        <v>6.2919999999999998</v>
      </c>
      <c r="J122" s="65">
        <v>54020040007</v>
      </c>
      <c r="K122" s="68" t="s">
        <v>2395</v>
      </c>
      <c r="L122" s="68" t="s">
        <v>2396</v>
      </c>
      <c r="M122" s="22" t="s">
        <v>107</v>
      </c>
      <c r="N122" s="85" t="s">
        <v>373</v>
      </c>
      <c r="O122" s="73" t="s">
        <v>381</v>
      </c>
      <c r="P122" s="22" t="s">
        <v>1112</v>
      </c>
      <c r="Q122" s="22" t="s">
        <v>373</v>
      </c>
      <c r="R122" s="22">
        <v>17</v>
      </c>
      <c r="S122" s="21">
        <v>4</v>
      </c>
      <c r="T122" s="22">
        <v>17</v>
      </c>
      <c r="U122" s="21">
        <v>0</v>
      </c>
      <c r="V122" s="21">
        <v>1</v>
      </c>
      <c r="W122" s="21">
        <v>0</v>
      </c>
      <c r="X122" s="48">
        <v>1</v>
      </c>
      <c r="Y122" s="102">
        <v>0.83</v>
      </c>
      <c r="Z122" s="121">
        <v>1</v>
      </c>
      <c r="AA122" s="87">
        <v>0</v>
      </c>
      <c r="AB122" s="29">
        <v>1500000000</v>
      </c>
      <c r="AC122" s="130">
        <v>9000000000</v>
      </c>
      <c r="AD122" s="131">
        <v>1950000000</v>
      </c>
      <c r="AE122" s="87">
        <f t="shared" si="2"/>
        <v>12450000000</v>
      </c>
      <c r="AF122" s="30" t="s">
        <v>1149</v>
      </c>
    </row>
    <row r="123" spans="1:32" ht="41.4" x14ac:dyDescent="0.3">
      <c r="A123" s="169"/>
      <c r="B123" s="170">
        <v>0</v>
      </c>
      <c r="C123" s="171"/>
      <c r="D123" s="171">
        <v>0</v>
      </c>
      <c r="E123" s="64">
        <v>6.4610000000000003</v>
      </c>
      <c r="F123" s="64">
        <v>0</v>
      </c>
      <c r="G123" s="64">
        <f>12.446+3+2.346</f>
        <v>17.792000000000002</v>
      </c>
      <c r="H123" s="64">
        <f>14.079+4</f>
        <v>18.079000000000001</v>
      </c>
      <c r="I123" s="64">
        <v>10.986000000000001</v>
      </c>
      <c r="J123" s="65">
        <v>54020040008</v>
      </c>
      <c r="K123" s="68" t="s">
        <v>2397</v>
      </c>
      <c r="L123" s="68" t="s">
        <v>2398</v>
      </c>
      <c r="M123" s="22" t="s">
        <v>107</v>
      </c>
      <c r="N123" s="85" t="s">
        <v>373</v>
      </c>
      <c r="O123" s="73" t="s">
        <v>381</v>
      </c>
      <c r="P123" s="22" t="s">
        <v>1113</v>
      </c>
      <c r="Q123" s="22" t="s">
        <v>373</v>
      </c>
      <c r="R123" s="22">
        <v>17</v>
      </c>
      <c r="S123" s="21">
        <v>4</v>
      </c>
      <c r="T123" s="22">
        <v>17</v>
      </c>
      <c r="U123" s="21">
        <v>0</v>
      </c>
      <c r="V123" s="21">
        <v>1</v>
      </c>
      <c r="W123" s="33">
        <v>0.1</v>
      </c>
      <c r="X123" s="33">
        <v>0</v>
      </c>
      <c r="Y123" s="103">
        <v>0.75</v>
      </c>
      <c r="Z123" s="123">
        <v>1</v>
      </c>
      <c r="AA123" s="87">
        <v>217100000</v>
      </c>
      <c r="AB123" s="29">
        <v>0</v>
      </c>
      <c r="AC123" s="130">
        <v>39121000000</v>
      </c>
      <c r="AD123" s="131">
        <v>14191184942</v>
      </c>
      <c r="AE123" s="87">
        <f t="shared" si="2"/>
        <v>53529284942</v>
      </c>
      <c r="AF123" s="30" t="s">
        <v>1149</v>
      </c>
    </row>
    <row r="124" spans="1:32" ht="69" x14ac:dyDescent="0.3">
      <c r="A124" s="169"/>
      <c r="B124" s="170">
        <v>0</v>
      </c>
      <c r="C124" s="171"/>
      <c r="D124" s="171">
        <v>0</v>
      </c>
      <c r="E124" s="64">
        <v>8.7110000000000003</v>
      </c>
      <c r="F124" s="64">
        <v>7.4759999999999991</v>
      </c>
      <c r="G124" s="64">
        <v>8.7309999999999999</v>
      </c>
      <c r="H124" s="64">
        <f>9.343-1</f>
        <v>8.343</v>
      </c>
      <c r="I124" s="64">
        <v>8.5649999999999995</v>
      </c>
      <c r="J124" s="65">
        <v>54020040009</v>
      </c>
      <c r="K124" s="68" t="s">
        <v>2399</v>
      </c>
      <c r="L124" s="68" t="s">
        <v>2400</v>
      </c>
      <c r="M124" s="22" t="s">
        <v>107</v>
      </c>
      <c r="N124" s="85" t="s">
        <v>374</v>
      </c>
      <c r="O124" s="73" t="s">
        <v>507</v>
      </c>
      <c r="P124" s="22" t="s">
        <v>1114</v>
      </c>
      <c r="Q124" s="22" t="s">
        <v>374</v>
      </c>
      <c r="R124" s="22">
        <v>17</v>
      </c>
      <c r="S124" s="21">
        <v>24</v>
      </c>
      <c r="T124" s="22">
        <v>9</v>
      </c>
      <c r="U124" s="21">
        <v>8.9600000000000009</v>
      </c>
      <c r="V124" s="21">
        <v>10</v>
      </c>
      <c r="W124" s="33">
        <v>9.2200000000000006</v>
      </c>
      <c r="X124" s="33">
        <v>9.48</v>
      </c>
      <c r="Y124" s="103">
        <v>9.74</v>
      </c>
      <c r="Z124" s="123">
        <v>10</v>
      </c>
      <c r="AA124" s="87">
        <v>749699742</v>
      </c>
      <c r="AB124" s="29">
        <v>1203328014</v>
      </c>
      <c r="AC124" s="130">
        <v>1409112000</v>
      </c>
      <c r="AD124" s="131">
        <v>1643548000</v>
      </c>
      <c r="AE124" s="87">
        <f t="shared" si="2"/>
        <v>5005687756</v>
      </c>
      <c r="AF124" s="30" t="s">
        <v>362</v>
      </c>
    </row>
    <row r="125" spans="1:32" ht="96.6" x14ac:dyDescent="0.3">
      <c r="A125" s="169"/>
      <c r="B125" s="170">
        <v>0</v>
      </c>
      <c r="C125" s="171"/>
      <c r="D125" s="171">
        <v>0</v>
      </c>
      <c r="E125" s="64">
        <v>5.3360000000000003</v>
      </c>
      <c r="F125" s="64">
        <v>4.9550000000000001</v>
      </c>
      <c r="G125" s="64">
        <f>7.346-3-2-2.346</f>
        <v>0</v>
      </c>
      <c r="H125" s="64">
        <f>8.5-4-2-2.5</f>
        <v>0</v>
      </c>
      <c r="I125" s="64">
        <v>3.1709999999999998</v>
      </c>
      <c r="J125" s="65">
        <v>54020040010</v>
      </c>
      <c r="K125" s="68" t="s">
        <v>2401</v>
      </c>
      <c r="L125" s="68" t="s">
        <v>2402</v>
      </c>
      <c r="M125" s="22" t="s">
        <v>175</v>
      </c>
      <c r="N125" s="85" t="s">
        <v>373</v>
      </c>
      <c r="O125" s="73" t="s">
        <v>381</v>
      </c>
      <c r="P125" s="22" t="s">
        <v>1115</v>
      </c>
      <c r="Q125" s="22" t="s">
        <v>373</v>
      </c>
      <c r="R125" s="22">
        <v>17</v>
      </c>
      <c r="S125" s="21">
        <v>13</v>
      </c>
      <c r="T125" s="22">
        <v>17</v>
      </c>
      <c r="U125" s="21">
        <v>0</v>
      </c>
      <c r="V125" s="21">
        <v>1</v>
      </c>
      <c r="W125" s="48">
        <v>0.7</v>
      </c>
      <c r="X125" s="48">
        <v>0.8</v>
      </c>
      <c r="Y125" s="102">
        <v>0</v>
      </c>
      <c r="Z125" s="121">
        <v>0</v>
      </c>
      <c r="AA125" s="87">
        <v>50000000</v>
      </c>
      <c r="AB125" s="29">
        <v>50000000</v>
      </c>
      <c r="AC125" s="130">
        <v>0</v>
      </c>
      <c r="AD125" s="131">
        <v>0</v>
      </c>
      <c r="AE125" s="87">
        <f t="shared" si="2"/>
        <v>100000000</v>
      </c>
      <c r="AF125" s="30" t="s">
        <v>366</v>
      </c>
    </row>
    <row r="126" spans="1:32" ht="55.2" x14ac:dyDescent="0.3">
      <c r="A126" s="169"/>
      <c r="B126" s="170">
        <v>0</v>
      </c>
      <c r="C126" s="171"/>
      <c r="D126" s="171">
        <v>0</v>
      </c>
      <c r="E126" s="64">
        <v>8.109</v>
      </c>
      <c r="F126" s="64">
        <v>7.6189999999999998</v>
      </c>
      <c r="G126" s="64">
        <f>8.794-1.79</f>
        <v>7.0040000000000004</v>
      </c>
      <c r="H126" s="64">
        <f>9.125-1</f>
        <v>8.125</v>
      </c>
      <c r="I126" s="64">
        <v>8.4109999999999996</v>
      </c>
      <c r="J126" s="65">
        <v>54020040011</v>
      </c>
      <c r="K126" s="68" t="s">
        <v>2403</v>
      </c>
      <c r="L126" s="68" t="s">
        <v>2404</v>
      </c>
      <c r="M126" s="22" t="s">
        <v>107</v>
      </c>
      <c r="N126" s="85" t="s">
        <v>1104</v>
      </c>
      <c r="O126" s="73" t="s">
        <v>756</v>
      </c>
      <c r="P126" s="22" t="s">
        <v>1116</v>
      </c>
      <c r="Q126" s="22" t="s">
        <v>380</v>
      </c>
      <c r="R126" s="22">
        <v>17</v>
      </c>
      <c r="S126" s="21">
        <v>40</v>
      </c>
      <c r="T126" s="22">
        <v>7</v>
      </c>
      <c r="U126" s="21">
        <v>6202</v>
      </c>
      <c r="V126" s="21">
        <v>9500</v>
      </c>
      <c r="W126" s="21">
        <v>6479</v>
      </c>
      <c r="X126" s="21">
        <v>7486</v>
      </c>
      <c r="Y126" s="94">
        <v>8493</v>
      </c>
      <c r="Z126" s="116">
        <v>9500</v>
      </c>
      <c r="AA126" s="87">
        <v>313326936</v>
      </c>
      <c r="AB126" s="29">
        <v>867077008</v>
      </c>
      <c r="AC126" s="130">
        <v>1060000000</v>
      </c>
      <c r="AD126" s="131">
        <v>1355070000</v>
      </c>
      <c r="AE126" s="87">
        <f t="shared" si="2"/>
        <v>3595473944</v>
      </c>
      <c r="AF126" s="30" t="s">
        <v>1140</v>
      </c>
    </row>
    <row r="127" spans="1:32" x14ac:dyDescent="0.3">
      <c r="A127" s="67"/>
      <c r="B127" s="37"/>
      <c r="C127" s="66"/>
      <c r="D127" s="66"/>
      <c r="E127" s="66"/>
      <c r="F127" s="66"/>
      <c r="G127" s="66"/>
      <c r="H127" s="66"/>
      <c r="I127" s="66"/>
      <c r="J127" s="67"/>
      <c r="K127" s="69"/>
      <c r="L127" s="69"/>
      <c r="M127" s="41"/>
      <c r="N127" s="41"/>
      <c r="O127" s="24"/>
      <c r="P127" s="41"/>
      <c r="Q127" s="41"/>
      <c r="R127" s="41"/>
      <c r="S127" s="52"/>
      <c r="T127" s="41"/>
      <c r="U127" s="52"/>
      <c r="V127" s="52"/>
      <c r="W127" s="52"/>
      <c r="X127" s="52"/>
      <c r="Y127" s="52"/>
      <c r="Z127" s="55"/>
      <c r="AA127" s="53"/>
      <c r="AB127" s="53"/>
      <c r="AC127" s="53"/>
      <c r="AD127" s="53"/>
      <c r="AE127" s="53"/>
      <c r="AF127" s="40"/>
    </row>
    <row r="128" spans="1:32" ht="82.8" x14ac:dyDescent="0.3">
      <c r="A128" s="169" t="s">
        <v>2405</v>
      </c>
      <c r="B128" s="170">
        <v>32.747</v>
      </c>
      <c r="C128" s="171" t="s">
        <v>2406</v>
      </c>
      <c r="D128" s="171">
        <v>56.725000000000001</v>
      </c>
      <c r="E128" s="64">
        <v>10.517999999999999</v>
      </c>
      <c r="F128" s="64">
        <v>9.5470000000000006</v>
      </c>
      <c r="G128" s="64">
        <v>9.5670000000000002</v>
      </c>
      <c r="H128" s="64">
        <f>10.653+2</f>
        <v>12.653</v>
      </c>
      <c r="I128" s="64">
        <v>10.072000000000001</v>
      </c>
      <c r="J128" s="65">
        <v>54030010001</v>
      </c>
      <c r="K128" s="68" t="s">
        <v>2407</v>
      </c>
      <c r="L128" s="68" t="s">
        <v>2408</v>
      </c>
      <c r="M128" s="22" t="s">
        <v>107</v>
      </c>
      <c r="N128" s="85" t="s">
        <v>374</v>
      </c>
      <c r="O128" s="73" t="s">
        <v>507</v>
      </c>
      <c r="P128" s="22" t="s">
        <v>1117</v>
      </c>
      <c r="Q128" s="22" t="s">
        <v>373</v>
      </c>
      <c r="R128" s="22">
        <v>11</v>
      </c>
      <c r="S128" s="21">
        <v>45</v>
      </c>
      <c r="T128" s="22">
        <v>16</v>
      </c>
      <c r="U128" s="21">
        <v>10</v>
      </c>
      <c r="V128" s="21">
        <v>100</v>
      </c>
      <c r="W128" s="21">
        <v>15</v>
      </c>
      <c r="X128" s="21">
        <v>30</v>
      </c>
      <c r="Y128" s="94">
        <v>70</v>
      </c>
      <c r="Z128" s="116">
        <v>100</v>
      </c>
      <c r="AA128" s="87">
        <v>1765284779</v>
      </c>
      <c r="AB128" s="29">
        <v>1443661735</v>
      </c>
      <c r="AC128" s="130">
        <v>2892251250</v>
      </c>
      <c r="AD128" s="131">
        <v>1845806000</v>
      </c>
      <c r="AE128" s="87">
        <f>SUM(AA128:AD128)</f>
        <v>7947003764</v>
      </c>
      <c r="AF128" s="30" t="s">
        <v>1141</v>
      </c>
    </row>
    <row r="129" spans="1:32" ht="55.2" x14ac:dyDescent="0.3">
      <c r="A129" s="169"/>
      <c r="B129" s="170">
        <v>0</v>
      </c>
      <c r="C129" s="171"/>
      <c r="D129" s="171">
        <v>0</v>
      </c>
      <c r="E129" s="64">
        <v>8.798</v>
      </c>
      <c r="F129" s="64">
        <v>7.7270000000000003</v>
      </c>
      <c r="G129" s="64">
        <v>7.7439999999999998</v>
      </c>
      <c r="H129" s="64">
        <f>8.458-2</f>
        <v>6.4580000000000002</v>
      </c>
      <c r="I129" s="64">
        <v>8.1820000000000004</v>
      </c>
      <c r="J129" s="65">
        <v>54030010002</v>
      </c>
      <c r="K129" s="68" t="s">
        <v>2409</v>
      </c>
      <c r="L129" s="68" t="s">
        <v>2410</v>
      </c>
      <c r="M129" s="22" t="s">
        <v>107</v>
      </c>
      <c r="N129" s="85" t="s">
        <v>373</v>
      </c>
      <c r="O129" s="73" t="s">
        <v>381</v>
      </c>
      <c r="P129" s="22" t="s">
        <v>1118</v>
      </c>
      <c r="Q129" s="22" t="s">
        <v>373</v>
      </c>
      <c r="R129" s="22">
        <v>11</v>
      </c>
      <c r="S129" s="21">
        <v>45</v>
      </c>
      <c r="T129" s="22">
        <v>16</v>
      </c>
      <c r="U129" s="21">
        <v>39677</v>
      </c>
      <c r="V129" s="21">
        <v>79677</v>
      </c>
      <c r="W129" s="21">
        <v>40177</v>
      </c>
      <c r="X129" s="21">
        <v>49527</v>
      </c>
      <c r="Y129" s="94">
        <v>66677</v>
      </c>
      <c r="Z129" s="116">
        <v>79677</v>
      </c>
      <c r="AA129" s="87">
        <v>805284973</v>
      </c>
      <c r="AB129" s="29">
        <v>555802074</v>
      </c>
      <c r="AC129" s="130">
        <v>1118878400</v>
      </c>
      <c r="AD129" s="131">
        <v>583044000</v>
      </c>
      <c r="AE129" s="87">
        <f t="shared" si="2"/>
        <v>3063009447</v>
      </c>
      <c r="AF129" s="30" t="s">
        <v>1141</v>
      </c>
    </row>
    <row r="130" spans="1:32" ht="69" x14ac:dyDescent="0.3">
      <c r="A130" s="169"/>
      <c r="B130" s="170">
        <v>0</v>
      </c>
      <c r="C130" s="171"/>
      <c r="D130" s="171">
        <v>0</v>
      </c>
      <c r="E130" s="64">
        <v>0</v>
      </c>
      <c r="F130" s="64">
        <v>6.8079999999999998</v>
      </c>
      <c r="G130" s="64">
        <v>6.7280000000000006</v>
      </c>
      <c r="H130" s="64">
        <f>6.964-0.8</f>
        <v>6.1640000000000006</v>
      </c>
      <c r="I130" s="64">
        <v>5.125</v>
      </c>
      <c r="J130" s="65">
        <v>54030010003</v>
      </c>
      <c r="K130" s="68" t="s">
        <v>2411</v>
      </c>
      <c r="L130" s="68" t="s">
        <v>2412</v>
      </c>
      <c r="M130" s="22" t="s">
        <v>107</v>
      </c>
      <c r="N130" s="85" t="s">
        <v>373</v>
      </c>
      <c r="O130" s="73" t="s">
        <v>381</v>
      </c>
      <c r="P130" s="22" t="s">
        <v>1119</v>
      </c>
      <c r="Q130" s="22" t="s">
        <v>373</v>
      </c>
      <c r="R130" s="22">
        <v>11</v>
      </c>
      <c r="S130" s="21">
        <v>45</v>
      </c>
      <c r="T130" s="22">
        <v>16</v>
      </c>
      <c r="U130" s="21">
        <v>0</v>
      </c>
      <c r="V130" s="21">
        <v>25</v>
      </c>
      <c r="W130" s="21">
        <v>0</v>
      </c>
      <c r="X130" s="21">
        <v>9</v>
      </c>
      <c r="Y130" s="94">
        <v>17</v>
      </c>
      <c r="Z130" s="116">
        <v>25</v>
      </c>
      <c r="AA130" s="87">
        <v>0</v>
      </c>
      <c r="AB130" s="29">
        <v>334399400</v>
      </c>
      <c r="AC130" s="130">
        <v>333556300</v>
      </c>
      <c r="AD130" s="131">
        <v>231286000</v>
      </c>
      <c r="AE130" s="87">
        <f t="shared" si="2"/>
        <v>899241700</v>
      </c>
      <c r="AF130" s="30" t="s">
        <v>1141</v>
      </c>
    </row>
    <row r="131" spans="1:32" ht="41.4" x14ac:dyDescent="0.3">
      <c r="A131" s="169"/>
      <c r="B131" s="170">
        <v>0</v>
      </c>
      <c r="C131" s="171"/>
      <c r="D131" s="171">
        <v>0</v>
      </c>
      <c r="E131" s="64">
        <v>7.8299999999999992</v>
      </c>
      <c r="F131" s="64">
        <v>0</v>
      </c>
      <c r="G131" s="64">
        <v>0</v>
      </c>
      <c r="H131" s="64">
        <v>0</v>
      </c>
      <c r="I131" s="64">
        <v>1.9570000000000001</v>
      </c>
      <c r="J131" s="65">
        <v>54030010004</v>
      </c>
      <c r="K131" s="68" t="s">
        <v>2413</v>
      </c>
      <c r="L131" s="68" t="s">
        <v>2414</v>
      </c>
      <c r="M131" s="22" t="s">
        <v>107</v>
      </c>
      <c r="N131" s="85" t="s">
        <v>373</v>
      </c>
      <c r="O131" s="73" t="s">
        <v>381</v>
      </c>
      <c r="P131" s="22" t="s">
        <v>1120</v>
      </c>
      <c r="Q131" s="22" t="s">
        <v>373</v>
      </c>
      <c r="R131" s="22">
        <v>11</v>
      </c>
      <c r="S131" s="21">
        <v>45</v>
      </c>
      <c r="T131" s="22">
        <v>16</v>
      </c>
      <c r="U131" s="21">
        <v>0</v>
      </c>
      <c r="V131" s="21">
        <v>37</v>
      </c>
      <c r="W131" s="21">
        <v>37</v>
      </c>
      <c r="X131" s="21">
        <v>0</v>
      </c>
      <c r="Y131" s="94">
        <v>0</v>
      </c>
      <c r="Z131" s="116">
        <v>0</v>
      </c>
      <c r="AA131" s="87">
        <v>810587383</v>
      </c>
      <c r="AB131" s="29">
        <v>0</v>
      </c>
      <c r="AC131" s="130">
        <v>0</v>
      </c>
      <c r="AD131" s="131">
        <v>0</v>
      </c>
      <c r="AE131" s="87">
        <f t="shared" si="2"/>
        <v>810587383</v>
      </c>
      <c r="AF131" s="30" t="s">
        <v>1141</v>
      </c>
    </row>
    <row r="132" spans="1:32" ht="96.6" x14ac:dyDescent="0.3">
      <c r="A132" s="169"/>
      <c r="B132" s="170">
        <v>0</v>
      </c>
      <c r="C132" s="171"/>
      <c r="D132" s="171">
        <v>0</v>
      </c>
      <c r="E132" s="64">
        <v>9.7729999999999997</v>
      </c>
      <c r="F132" s="64">
        <v>7.8560000000000008</v>
      </c>
      <c r="G132" s="64">
        <v>7.870000000000001</v>
      </c>
      <c r="H132" s="64">
        <f>8.042-1.5</f>
        <v>6.5419999999999998</v>
      </c>
      <c r="I132" s="64">
        <v>8.3849999999999998</v>
      </c>
      <c r="J132" s="65">
        <v>54030010005</v>
      </c>
      <c r="K132" s="68" t="s">
        <v>2415</v>
      </c>
      <c r="L132" s="68" t="s">
        <v>2416</v>
      </c>
      <c r="M132" s="22" t="s">
        <v>144</v>
      </c>
      <c r="N132" s="85" t="s">
        <v>374</v>
      </c>
      <c r="O132" s="73" t="s">
        <v>507</v>
      </c>
      <c r="P132" s="22" t="s">
        <v>1121</v>
      </c>
      <c r="Q132" s="22" t="s">
        <v>373</v>
      </c>
      <c r="R132" s="22">
        <v>11</v>
      </c>
      <c r="S132" s="21">
        <v>45</v>
      </c>
      <c r="T132" s="22">
        <v>16</v>
      </c>
      <c r="U132" s="21">
        <v>100</v>
      </c>
      <c r="V132" s="21">
        <v>100</v>
      </c>
      <c r="W132" s="21">
        <v>100</v>
      </c>
      <c r="X132" s="21">
        <v>100</v>
      </c>
      <c r="Y132" s="94">
        <v>100</v>
      </c>
      <c r="Z132" s="116">
        <v>100</v>
      </c>
      <c r="AA132" s="87">
        <v>1640274479</v>
      </c>
      <c r="AB132" s="29">
        <v>930790585</v>
      </c>
      <c r="AC132" s="130">
        <v>1532713449</v>
      </c>
      <c r="AD132" s="131">
        <v>960396000</v>
      </c>
      <c r="AE132" s="87">
        <f t="shared" si="2"/>
        <v>5064174513</v>
      </c>
      <c r="AF132" s="30" t="s">
        <v>1141</v>
      </c>
    </row>
    <row r="133" spans="1:32" ht="96.6" x14ac:dyDescent="0.3">
      <c r="A133" s="169"/>
      <c r="B133" s="170">
        <v>0</v>
      </c>
      <c r="C133" s="171"/>
      <c r="D133" s="171">
        <v>0</v>
      </c>
      <c r="E133" s="64">
        <v>8.6560000000000006</v>
      </c>
      <c r="F133" s="64">
        <v>6.4560000000000004</v>
      </c>
      <c r="G133" s="64">
        <v>6.4359999999999999</v>
      </c>
      <c r="H133" s="64">
        <f>6.434-1.2</f>
        <v>5.234</v>
      </c>
      <c r="I133" s="64">
        <v>6.9959999999999996</v>
      </c>
      <c r="J133" s="65">
        <v>54030010006</v>
      </c>
      <c r="K133" s="68" t="s">
        <v>2417</v>
      </c>
      <c r="L133" s="68" t="s">
        <v>2418</v>
      </c>
      <c r="M133" s="22" t="s">
        <v>107</v>
      </c>
      <c r="N133" s="85" t="s">
        <v>374</v>
      </c>
      <c r="O133" s="73" t="s">
        <v>507</v>
      </c>
      <c r="P133" s="22" t="s">
        <v>1122</v>
      </c>
      <c r="Q133" s="22" t="s">
        <v>373</v>
      </c>
      <c r="R133" s="22">
        <v>11</v>
      </c>
      <c r="S133" s="21">
        <v>45</v>
      </c>
      <c r="T133" s="22">
        <v>16</v>
      </c>
      <c r="U133" s="21">
        <v>29</v>
      </c>
      <c r="V133" s="21">
        <v>60</v>
      </c>
      <c r="W133" s="21">
        <v>33</v>
      </c>
      <c r="X133" s="21">
        <v>43</v>
      </c>
      <c r="Y133" s="94">
        <v>51</v>
      </c>
      <c r="Z133" s="116">
        <v>60</v>
      </c>
      <c r="AA133" s="87">
        <v>949252753</v>
      </c>
      <c r="AB133" s="29">
        <v>150864100</v>
      </c>
      <c r="AC133" s="130">
        <v>241446800</v>
      </c>
      <c r="AD133" s="131">
        <v>137832000</v>
      </c>
      <c r="AE133" s="87">
        <f t="shared" si="2"/>
        <v>1479395653</v>
      </c>
      <c r="AF133" s="30" t="s">
        <v>1141</v>
      </c>
    </row>
    <row r="134" spans="1:32" ht="96.6" x14ac:dyDescent="0.3">
      <c r="A134" s="169"/>
      <c r="B134" s="170">
        <v>0</v>
      </c>
      <c r="C134" s="171"/>
      <c r="D134" s="171">
        <v>0</v>
      </c>
      <c r="E134" s="64">
        <v>0</v>
      </c>
      <c r="F134" s="64">
        <v>6.5809999999999995</v>
      </c>
      <c r="G134" s="64">
        <v>6.5110000000000001</v>
      </c>
      <c r="H134" s="64">
        <v>5.5</v>
      </c>
      <c r="I134" s="64">
        <v>3.2730000000000001</v>
      </c>
      <c r="J134" s="65">
        <v>54030010007</v>
      </c>
      <c r="K134" s="68" t="s">
        <v>2419</v>
      </c>
      <c r="L134" s="68" t="s">
        <v>2420</v>
      </c>
      <c r="M134" s="22" t="s">
        <v>107</v>
      </c>
      <c r="N134" s="85" t="s">
        <v>373</v>
      </c>
      <c r="O134" s="73" t="s">
        <v>381</v>
      </c>
      <c r="P134" s="22" t="s">
        <v>1123</v>
      </c>
      <c r="Q134" s="22" t="s">
        <v>373</v>
      </c>
      <c r="R134" s="22">
        <v>11</v>
      </c>
      <c r="S134" s="21">
        <v>41</v>
      </c>
      <c r="T134" s="22">
        <v>16</v>
      </c>
      <c r="U134" s="21">
        <v>0</v>
      </c>
      <c r="V134" s="21">
        <v>100</v>
      </c>
      <c r="W134" s="21">
        <v>0</v>
      </c>
      <c r="X134" s="21">
        <v>20</v>
      </c>
      <c r="Y134" s="94">
        <v>63</v>
      </c>
      <c r="Z134" s="116">
        <v>100</v>
      </c>
      <c r="AA134" s="87">
        <v>0</v>
      </c>
      <c r="AB134" s="29">
        <v>473341492</v>
      </c>
      <c r="AC134" s="130">
        <v>875228550</v>
      </c>
      <c r="AD134" s="131">
        <v>293314000</v>
      </c>
      <c r="AE134" s="87">
        <f t="shared" si="2"/>
        <v>1641884042</v>
      </c>
      <c r="AF134" s="30" t="s">
        <v>1141</v>
      </c>
    </row>
    <row r="135" spans="1:32" ht="82.8" x14ac:dyDescent="0.3">
      <c r="A135" s="169"/>
      <c r="B135" s="170">
        <v>0</v>
      </c>
      <c r="C135" s="171"/>
      <c r="D135" s="171">
        <v>0</v>
      </c>
      <c r="E135" s="64">
        <v>7.31</v>
      </c>
      <c r="F135" s="64">
        <v>6.4530000000000003</v>
      </c>
      <c r="G135" s="64">
        <v>6.4189999999999996</v>
      </c>
      <c r="H135" s="64">
        <v>7.577</v>
      </c>
      <c r="I135" s="64">
        <v>6.94</v>
      </c>
      <c r="J135" s="65">
        <v>54030010008</v>
      </c>
      <c r="K135" s="68" t="s">
        <v>2421</v>
      </c>
      <c r="L135" s="68" t="s">
        <v>2422</v>
      </c>
      <c r="M135" s="22" t="s">
        <v>803</v>
      </c>
      <c r="N135" s="85" t="s">
        <v>373</v>
      </c>
      <c r="O135" s="73" t="s">
        <v>381</v>
      </c>
      <c r="P135" s="22" t="s">
        <v>1124</v>
      </c>
      <c r="Q135" s="22" t="s">
        <v>373</v>
      </c>
      <c r="R135" s="22">
        <v>11</v>
      </c>
      <c r="S135" s="21">
        <v>33</v>
      </c>
      <c r="T135" s="22">
        <v>5</v>
      </c>
      <c r="U135" s="21">
        <v>1</v>
      </c>
      <c r="V135" s="21">
        <v>1</v>
      </c>
      <c r="W135" s="21">
        <v>1</v>
      </c>
      <c r="X135" s="21">
        <v>1</v>
      </c>
      <c r="Y135" s="94">
        <v>1</v>
      </c>
      <c r="Z135" s="116">
        <v>1</v>
      </c>
      <c r="AA135" s="87">
        <v>387668413</v>
      </c>
      <c r="AB135" s="29">
        <v>172000000</v>
      </c>
      <c r="AC135" s="130">
        <v>1218225250</v>
      </c>
      <c r="AD135" s="131">
        <v>1218225250</v>
      </c>
      <c r="AE135" s="87">
        <f t="shared" si="2"/>
        <v>2996118913</v>
      </c>
      <c r="AF135" s="30" t="s">
        <v>355</v>
      </c>
    </row>
    <row r="136" spans="1:32" ht="69" x14ac:dyDescent="0.3">
      <c r="A136" s="169"/>
      <c r="B136" s="170">
        <v>0</v>
      </c>
      <c r="C136" s="171"/>
      <c r="D136" s="171">
        <v>0</v>
      </c>
      <c r="E136" s="64">
        <v>7.3830000000000009</v>
      </c>
      <c r="F136" s="64">
        <v>7.7109999999999994</v>
      </c>
      <c r="G136" s="64">
        <f>7.715-3.715-4</f>
        <v>0</v>
      </c>
      <c r="H136" s="64">
        <f>7.823-3.823-4</f>
        <v>0</v>
      </c>
      <c r="I136" s="64">
        <v>7.6579999999999995</v>
      </c>
      <c r="J136" s="65">
        <v>54030010009</v>
      </c>
      <c r="K136" s="68" t="s">
        <v>2423</v>
      </c>
      <c r="L136" s="68" t="s">
        <v>2424</v>
      </c>
      <c r="M136" s="22" t="s">
        <v>107</v>
      </c>
      <c r="N136" s="85" t="s">
        <v>373</v>
      </c>
      <c r="O136" s="73" t="s">
        <v>381</v>
      </c>
      <c r="P136" s="22" t="s">
        <v>1125</v>
      </c>
      <c r="Q136" s="22" t="s">
        <v>373</v>
      </c>
      <c r="R136" s="22">
        <v>5</v>
      </c>
      <c r="S136" s="21">
        <v>45</v>
      </c>
      <c r="T136" s="22">
        <v>14</v>
      </c>
      <c r="U136" s="21">
        <v>300</v>
      </c>
      <c r="V136" s="21">
        <v>500</v>
      </c>
      <c r="W136" s="21">
        <v>350</v>
      </c>
      <c r="X136" s="21">
        <v>500</v>
      </c>
      <c r="Y136" s="94">
        <v>0</v>
      </c>
      <c r="Z136" s="116">
        <v>0</v>
      </c>
      <c r="AA136" s="87">
        <v>400000000</v>
      </c>
      <c r="AB136" s="29">
        <v>681729804</v>
      </c>
      <c r="AC136" s="130">
        <v>0</v>
      </c>
      <c r="AD136" s="131">
        <v>0</v>
      </c>
      <c r="AE136" s="87">
        <f t="shared" si="2"/>
        <v>1081729804</v>
      </c>
      <c r="AF136" s="30" t="s">
        <v>370</v>
      </c>
    </row>
    <row r="137" spans="1:32" ht="69" x14ac:dyDescent="0.3">
      <c r="A137" s="169"/>
      <c r="B137" s="170">
        <v>0</v>
      </c>
      <c r="C137" s="171"/>
      <c r="D137" s="171">
        <v>0</v>
      </c>
      <c r="E137" s="64">
        <v>0</v>
      </c>
      <c r="F137" s="64">
        <v>7.5819999999999999</v>
      </c>
      <c r="G137" s="64">
        <f>7.549+3.715</f>
        <v>11.263999999999999</v>
      </c>
      <c r="H137" s="64">
        <f>8.739+3.823</f>
        <v>12.562000000000001</v>
      </c>
      <c r="I137" s="64">
        <v>5.968</v>
      </c>
      <c r="J137" s="65">
        <v>54030010010</v>
      </c>
      <c r="K137" s="68" t="s">
        <v>2425</v>
      </c>
      <c r="L137" s="68" t="s">
        <v>2426</v>
      </c>
      <c r="M137" s="22" t="s">
        <v>144</v>
      </c>
      <c r="N137" s="85" t="s">
        <v>373</v>
      </c>
      <c r="O137" s="73" t="s">
        <v>381</v>
      </c>
      <c r="P137" s="22" t="s">
        <v>1126</v>
      </c>
      <c r="Q137" s="22" t="s">
        <v>373</v>
      </c>
      <c r="R137" s="22">
        <v>16</v>
      </c>
      <c r="S137" s="21">
        <v>45</v>
      </c>
      <c r="T137" s="22">
        <v>17</v>
      </c>
      <c r="U137" s="21">
        <v>0</v>
      </c>
      <c r="V137" s="21">
        <v>1</v>
      </c>
      <c r="W137" s="21">
        <v>0</v>
      </c>
      <c r="X137" s="21">
        <v>1</v>
      </c>
      <c r="Y137" s="94">
        <v>1</v>
      </c>
      <c r="Z137" s="116">
        <v>1</v>
      </c>
      <c r="AA137" s="87">
        <v>0</v>
      </c>
      <c r="AB137" s="29">
        <v>923600684</v>
      </c>
      <c r="AC137" s="130">
        <v>500000000</v>
      </c>
      <c r="AD137" s="131">
        <v>1390449505</v>
      </c>
      <c r="AE137" s="87">
        <f t="shared" si="2"/>
        <v>2814050189</v>
      </c>
      <c r="AF137" s="30" t="s">
        <v>1145</v>
      </c>
    </row>
    <row r="138" spans="1:32" ht="55.2" x14ac:dyDescent="0.3">
      <c r="A138" s="169"/>
      <c r="B138" s="170">
        <v>0</v>
      </c>
      <c r="C138" s="171"/>
      <c r="D138" s="171">
        <v>0</v>
      </c>
      <c r="E138" s="64">
        <v>21.416</v>
      </c>
      <c r="F138" s="64">
        <v>19.149999999999999</v>
      </c>
      <c r="G138" s="64">
        <v>19.580000000000002</v>
      </c>
      <c r="H138" s="64">
        <f>14.939+1.2+1.5+0.8+2</f>
        <v>20.439</v>
      </c>
      <c r="I138" s="64">
        <v>20.145</v>
      </c>
      <c r="J138" s="65">
        <v>54030010011</v>
      </c>
      <c r="K138" s="68" t="s">
        <v>2427</v>
      </c>
      <c r="L138" s="68" t="s">
        <v>2428</v>
      </c>
      <c r="M138" s="22" t="s">
        <v>107</v>
      </c>
      <c r="N138" s="85" t="s">
        <v>373</v>
      </c>
      <c r="O138" s="73" t="s">
        <v>381</v>
      </c>
      <c r="P138" s="22" t="s">
        <v>1127</v>
      </c>
      <c r="Q138" s="22" t="s">
        <v>373</v>
      </c>
      <c r="R138" s="22">
        <v>16</v>
      </c>
      <c r="S138" s="21">
        <v>45</v>
      </c>
      <c r="T138" s="22">
        <v>17</v>
      </c>
      <c r="U138" s="21">
        <v>0</v>
      </c>
      <c r="V138" s="21">
        <v>4</v>
      </c>
      <c r="W138" s="21">
        <v>1</v>
      </c>
      <c r="X138" s="21">
        <v>2</v>
      </c>
      <c r="Y138" s="94">
        <v>3</v>
      </c>
      <c r="Z138" s="116">
        <v>4</v>
      </c>
      <c r="AA138" s="87">
        <v>7790264989</v>
      </c>
      <c r="AB138" s="29">
        <v>6351734914</v>
      </c>
      <c r="AC138" s="130">
        <v>8027037416</v>
      </c>
      <c r="AD138" s="131">
        <v>6000000000</v>
      </c>
      <c r="AE138" s="87">
        <f t="shared" si="2"/>
        <v>28169037319</v>
      </c>
      <c r="AF138" s="30" t="s">
        <v>1145</v>
      </c>
    </row>
    <row r="139" spans="1:32" ht="96.6" x14ac:dyDescent="0.3">
      <c r="A139" s="169"/>
      <c r="B139" s="170">
        <v>0</v>
      </c>
      <c r="C139" s="171"/>
      <c r="D139" s="171">
        <v>0</v>
      </c>
      <c r="E139" s="64">
        <v>13.108000000000001</v>
      </c>
      <c r="F139" s="64">
        <v>7.68</v>
      </c>
      <c r="G139" s="64">
        <f>7.43+4</f>
        <v>11.43</v>
      </c>
      <c r="H139" s="64">
        <f>8.4+4+1.5</f>
        <v>13.9</v>
      </c>
      <c r="I139" s="64">
        <v>9.1539999999999999</v>
      </c>
      <c r="J139" s="65">
        <v>54030010012</v>
      </c>
      <c r="K139" s="68" t="s">
        <v>2144</v>
      </c>
      <c r="L139" s="68" t="s">
        <v>2429</v>
      </c>
      <c r="M139" s="22" t="s">
        <v>107</v>
      </c>
      <c r="N139" s="85" t="s">
        <v>373</v>
      </c>
      <c r="O139" s="73" t="s">
        <v>1128</v>
      </c>
      <c r="P139" s="22" t="s">
        <v>1129</v>
      </c>
      <c r="Q139" s="22" t="s">
        <v>373</v>
      </c>
      <c r="R139" s="22">
        <v>17</v>
      </c>
      <c r="S139" s="21">
        <v>23</v>
      </c>
      <c r="T139" s="22">
        <v>6</v>
      </c>
      <c r="U139" s="21">
        <v>0</v>
      </c>
      <c r="V139" s="21">
        <v>1</v>
      </c>
      <c r="W139" s="33">
        <v>0.05</v>
      </c>
      <c r="X139" s="33">
        <v>0.53</v>
      </c>
      <c r="Y139" s="103">
        <v>0.85</v>
      </c>
      <c r="Z139" s="123">
        <v>1</v>
      </c>
      <c r="AA139" s="87">
        <v>2200000000</v>
      </c>
      <c r="AB139" s="29">
        <v>2968000000</v>
      </c>
      <c r="AC139" s="130">
        <v>2900000000</v>
      </c>
      <c r="AD139" s="131">
        <v>2200000000</v>
      </c>
      <c r="AE139" s="87">
        <f t="shared" si="2"/>
        <v>10268000000</v>
      </c>
      <c r="AF139" s="30" t="s">
        <v>365</v>
      </c>
    </row>
    <row r="140" spans="1:32" ht="55.2" x14ac:dyDescent="0.3">
      <c r="A140" s="169"/>
      <c r="B140" s="170">
        <v>0</v>
      </c>
      <c r="C140" s="171"/>
      <c r="D140" s="171">
        <v>0</v>
      </c>
      <c r="E140" s="64">
        <v>5.2080000000000002</v>
      </c>
      <c r="F140" s="64">
        <v>6.4490000000000007</v>
      </c>
      <c r="G140" s="64">
        <v>6.4509999999999996</v>
      </c>
      <c r="H140" s="64">
        <f>6.471-2-1.5</f>
        <v>2.9710000000000001</v>
      </c>
      <c r="I140" s="64">
        <v>6.1449999999999996</v>
      </c>
      <c r="J140" s="65">
        <v>54030010013</v>
      </c>
      <c r="K140" s="68" t="s">
        <v>2430</v>
      </c>
      <c r="L140" s="68" t="s">
        <v>2431</v>
      </c>
      <c r="M140" s="22" t="s">
        <v>107</v>
      </c>
      <c r="N140" s="85" t="s">
        <v>373</v>
      </c>
      <c r="O140" s="73" t="s">
        <v>381</v>
      </c>
      <c r="P140" s="22" t="s">
        <v>1130</v>
      </c>
      <c r="Q140" s="22" t="s">
        <v>373</v>
      </c>
      <c r="R140" s="22">
        <v>17</v>
      </c>
      <c r="S140" s="21">
        <v>45</v>
      </c>
      <c r="T140" s="22">
        <v>17</v>
      </c>
      <c r="U140" s="21">
        <v>4</v>
      </c>
      <c r="V140" s="21">
        <v>4</v>
      </c>
      <c r="W140" s="21">
        <v>1</v>
      </c>
      <c r="X140" s="21">
        <v>2</v>
      </c>
      <c r="Y140" s="94">
        <v>3</v>
      </c>
      <c r="Z140" s="116">
        <v>4</v>
      </c>
      <c r="AA140" s="87">
        <v>34978000</v>
      </c>
      <c r="AB140" s="29">
        <v>133400000</v>
      </c>
      <c r="AC140" s="130">
        <v>115691328</v>
      </c>
      <c r="AD140" s="131">
        <v>58854600</v>
      </c>
      <c r="AE140" s="87">
        <f t="shared" si="2"/>
        <v>342923928</v>
      </c>
      <c r="AF140" s="30" t="s">
        <v>361</v>
      </c>
    </row>
    <row r="141" spans="1:32" ht="124.2" x14ac:dyDescent="0.3">
      <c r="A141" s="169"/>
      <c r="B141" s="170">
        <v>0</v>
      </c>
      <c r="C141" s="171" t="s">
        <v>2432</v>
      </c>
      <c r="D141" s="171">
        <v>43.275000000000006</v>
      </c>
      <c r="E141" s="64">
        <v>12.343999999999999</v>
      </c>
      <c r="F141" s="64">
        <v>12.145</v>
      </c>
      <c r="G141" s="64">
        <v>8.327</v>
      </c>
      <c r="H141" s="64">
        <f>9.122+1.7</f>
        <v>10.821999999999999</v>
      </c>
      <c r="I141" s="64">
        <v>9.234</v>
      </c>
      <c r="J141" s="65">
        <v>54030020001</v>
      </c>
      <c r="K141" s="68" t="s">
        <v>2433</v>
      </c>
      <c r="L141" s="68" t="s">
        <v>2434</v>
      </c>
      <c r="M141" s="22" t="s">
        <v>107</v>
      </c>
      <c r="N141" s="85" t="s">
        <v>373</v>
      </c>
      <c r="O141" s="73" t="s">
        <v>542</v>
      </c>
      <c r="P141" s="22" t="s">
        <v>1131</v>
      </c>
      <c r="Q141" s="22" t="s">
        <v>373</v>
      </c>
      <c r="R141" s="22">
        <v>16</v>
      </c>
      <c r="S141" s="21">
        <v>45</v>
      </c>
      <c r="T141" s="22">
        <v>16</v>
      </c>
      <c r="U141" s="21">
        <v>0</v>
      </c>
      <c r="V141" s="21">
        <v>1</v>
      </c>
      <c r="W141" s="48">
        <v>0.6</v>
      </c>
      <c r="X141" s="48">
        <v>0.9</v>
      </c>
      <c r="Y141" s="102">
        <v>1</v>
      </c>
      <c r="Z141" s="121">
        <v>1</v>
      </c>
      <c r="AA141" s="87">
        <v>88924786</v>
      </c>
      <c r="AB141" s="29">
        <v>150000000</v>
      </c>
      <c r="AC141" s="130">
        <v>100000000</v>
      </c>
      <c r="AD141" s="131">
        <v>178846080</v>
      </c>
      <c r="AE141" s="87">
        <f t="shared" si="2"/>
        <v>517770866</v>
      </c>
      <c r="AF141" s="30" t="s">
        <v>1139</v>
      </c>
    </row>
    <row r="142" spans="1:32" ht="82.8" x14ac:dyDescent="0.3">
      <c r="A142" s="169"/>
      <c r="B142" s="170">
        <v>0</v>
      </c>
      <c r="C142" s="171"/>
      <c r="D142" s="171">
        <v>0</v>
      </c>
      <c r="E142" s="64">
        <v>0</v>
      </c>
      <c r="F142" s="64">
        <v>12.904999999999999</v>
      </c>
      <c r="G142" s="64">
        <v>12.418999999999999</v>
      </c>
      <c r="H142" s="64">
        <f>13.122-3-1.5</f>
        <v>8.6219999999999999</v>
      </c>
      <c r="I142" s="64">
        <v>9.6120000000000001</v>
      </c>
      <c r="J142" s="65">
        <v>54030020002</v>
      </c>
      <c r="K142" s="68" t="s">
        <v>2435</v>
      </c>
      <c r="L142" s="68" t="s">
        <v>2436</v>
      </c>
      <c r="M142" s="22" t="s">
        <v>144</v>
      </c>
      <c r="N142" s="85" t="s">
        <v>373</v>
      </c>
      <c r="O142" s="73" t="s">
        <v>381</v>
      </c>
      <c r="P142" s="22" t="s">
        <v>1132</v>
      </c>
      <c r="Q142" s="22" t="s">
        <v>373</v>
      </c>
      <c r="R142" s="22">
        <v>11</v>
      </c>
      <c r="S142" s="21">
        <v>45</v>
      </c>
      <c r="T142" s="22">
        <v>16</v>
      </c>
      <c r="U142" s="21">
        <v>0</v>
      </c>
      <c r="V142" s="21">
        <v>1</v>
      </c>
      <c r="W142" s="21">
        <v>0</v>
      </c>
      <c r="X142" s="21">
        <v>1</v>
      </c>
      <c r="Y142" s="94">
        <v>1</v>
      </c>
      <c r="Z142" s="116">
        <v>1</v>
      </c>
      <c r="AA142" s="87">
        <v>0</v>
      </c>
      <c r="AB142" s="29">
        <v>126666666</v>
      </c>
      <c r="AC142" s="130">
        <v>154108300</v>
      </c>
      <c r="AD142" s="131">
        <v>117246000</v>
      </c>
      <c r="AE142" s="87">
        <f t="shared" si="2"/>
        <v>398020966</v>
      </c>
      <c r="AF142" s="30" t="s">
        <v>1141</v>
      </c>
    </row>
    <row r="143" spans="1:32" ht="55.2" x14ac:dyDescent="0.3">
      <c r="A143" s="169"/>
      <c r="B143" s="170">
        <v>0</v>
      </c>
      <c r="C143" s="171"/>
      <c r="D143" s="171">
        <v>0</v>
      </c>
      <c r="E143" s="64">
        <v>24.108000000000001</v>
      </c>
      <c r="F143" s="64">
        <v>25.727</v>
      </c>
      <c r="G143" s="64">
        <v>20.699000000000002</v>
      </c>
      <c r="H143" s="64">
        <f>19.153+1.5</f>
        <v>20.652999999999999</v>
      </c>
      <c r="I143" s="64">
        <v>20.424999999999997</v>
      </c>
      <c r="J143" s="65">
        <v>54030020003</v>
      </c>
      <c r="K143" s="68" t="s">
        <v>2437</v>
      </c>
      <c r="L143" s="68" t="s">
        <v>2438</v>
      </c>
      <c r="M143" s="22" t="s">
        <v>107</v>
      </c>
      <c r="N143" s="85" t="s">
        <v>373</v>
      </c>
      <c r="O143" s="73" t="s">
        <v>381</v>
      </c>
      <c r="P143" s="22" t="s">
        <v>1133</v>
      </c>
      <c r="Q143" s="22" t="s">
        <v>373</v>
      </c>
      <c r="R143" s="22">
        <v>16</v>
      </c>
      <c r="S143" s="21">
        <v>41</v>
      </c>
      <c r="T143" s="22">
        <v>18</v>
      </c>
      <c r="U143" s="21">
        <v>8390</v>
      </c>
      <c r="V143" s="21">
        <v>17690</v>
      </c>
      <c r="W143" s="21">
        <v>10830</v>
      </c>
      <c r="X143" s="21">
        <v>12730</v>
      </c>
      <c r="Y143" s="94">
        <v>15290</v>
      </c>
      <c r="Z143" s="116">
        <v>17690</v>
      </c>
      <c r="AA143" s="87">
        <v>1595074100</v>
      </c>
      <c r="AB143" s="29">
        <v>1255699725</v>
      </c>
      <c r="AC143" s="130">
        <v>999588461</v>
      </c>
      <c r="AD143" s="131">
        <v>1135165740</v>
      </c>
      <c r="AE143" s="87">
        <f t="shared" si="2"/>
        <v>4985528026</v>
      </c>
      <c r="AF143" s="30" t="s">
        <v>1139</v>
      </c>
    </row>
    <row r="144" spans="1:32" ht="69" x14ac:dyDescent="0.3">
      <c r="A144" s="169"/>
      <c r="B144" s="170">
        <v>0</v>
      </c>
      <c r="C144" s="171"/>
      <c r="D144" s="171">
        <v>0</v>
      </c>
      <c r="E144" s="64">
        <v>31.667000000000002</v>
      </c>
      <c r="F144" s="64">
        <v>23.716999999999999</v>
      </c>
      <c r="G144" s="64">
        <v>24.922000000000001</v>
      </c>
      <c r="H144" s="64">
        <f>20.145+4+3</f>
        <v>27.145</v>
      </c>
      <c r="I144" s="64">
        <v>25.113000000000003</v>
      </c>
      <c r="J144" s="65">
        <v>54030020004</v>
      </c>
      <c r="K144" s="68" t="s">
        <v>2439</v>
      </c>
      <c r="L144" s="68" t="s">
        <v>2440</v>
      </c>
      <c r="M144" s="22" t="s">
        <v>107</v>
      </c>
      <c r="N144" s="85" t="s">
        <v>373</v>
      </c>
      <c r="O144" s="73" t="s">
        <v>381</v>
      </c>
      <c r="P144" s="22" t="s">
        <v>1134</v>
      </c>
      <c r="Q144" s="22" t="s">
        <v>373</v>
      </c>
      <c r="R144" s="22">
        <v>16</v>
      </c>
      <c r="S144" s="21">
        <v>45</v>
      </c>
      <c r="T144" s="22">
        <v>18</v>
      </c>
      <c r="U144" s="21">
        <v>98</v>
      </c>
      <c r="V144" s="21">
        <v>339</v>
      </c>
      <c r="W144" s="21">
        <v>157</v>
      </c>
      <c r="X144" s="21">
        <v>228</v>
      </c>
      <c r="Y144" s="94">
        <v>299</v>
      </c>
      <c r="Z144" s="128">
        <v>410</v>
      </c>
      <c r="AA144" s="87">
        <v>6969601230</v>
      </c>
      <c r="AB144" s="29">
        <v>4022414731</v>
      </c>
      <c r="AC144" s="130">
        <v>1319380529</v>
      </c>
      <c r="AD144" s="131">
        <v>2385721670</v>
      </c>
      <c r="AE144" s="87">
        <f t="shared" si="2"/>
        <v>14697118160</v>
      </c>
      <c r="AF144" s="30" t="s">
        <v>1139</v>
      </c>
    </row>
    <row r="145" spans="1:32" ht="69" x14ac:dyDescent="0.3">
      <c r="A145" s="169"/>
      <c r="B145" s="170">
        <v>0</v>
      </c>
      <c r="C145" s="171"/>
      <c r="D145" s="171">
        <v>0</v>
      </c>
      <c r="E145" s="64">
        <v>17.643000000000001</v>
      </c>
      <c r="F145" s="64">
        <v>18.004000000000001</v>
      </c>
      <c r="G145" s="64">
        <v>13.628000000000002</v>
      </c>
      <c r="H145" s="64">
        <v>15.190000000000001</v>
      </c>
      <c r="I145" s="64">
        <v>14.865999999999998</v>
      </c>
      <c r="J145" s="65">
        <v>54030020005</v>
      </c>
      <c r="K145" s="68" t="s">
        <v>2441</v>
      </c>
      <c r="L145" s="68" t="s">
        <v>2442</v>
      </c>
      <c r="M145" s="22" t="s">
        <v>107</v>
      </c>
      <c r="N145" s="85" t="s">
        <v>373</v>
      </c>
      <c r="O145" s="73" t="s">
        <v>381</v>
      </c>
      <c r="P145" s="22" t="s">
        <v>1135</v>
      </c>
      <c r="Q145" s="22" t="s">
        <v>373</v>
      </c>
      <c r="R145" s="22">
        <v>16</v>
      </c>
      <c r="S145" s="21">
        <v>45</v>
      </c>
      <c r="T145" s="22">
        <v>18</v>
      </c>
      <c r="U145" s="21">
        <v>15</v>
      </c>
      <c r="V145" s="21">
        <v>58</v>
      </c>
      <c r="W145" s="21">
        <v>19</v>
      </c>
      <c r="X145" s="21">
        <v>24</v>
      </c>
      <c r="Y145" s="94">
        <v>40</v>
      </c>
      <c r="Z145" s="116">
        <v>58</v>
      </c>
      <c r="AA145" s="87">
        <v>902635340</v>
      </c>
      <c r="AB145" s="29">
        <v>483427578</v>
      </c>
      <c r="AC145" s="130">
        <v>418855156</v>
      </c>
      <c r="AD145" s="131">
        <v>284447549</v>
      </c>
      <c r="AE145" s="87">
        <f t="shared" si="2"/>
        <v>2089365623</v>
      </c>
      <c r="AF145" s="30" t="s">
        <v>1139</v>
      </c>
    </row>
    <row r="146" spans="1:32" ht="55.2" x14ac:dyDescent="0.3">
      <c r="A146" s="169"/>
      <c r="B146" s="170">
        <v>0</v>
      </c>
      <c r="C146" s="171"/>
      <c r="D146" s="171">
        <v>0</v>
      </c>
      <c r="E146" s="64">
        <v>0</v>
      </c>
      <c r="F146" s="64">
        <v>0</v>
      </c>
      <c r="G146" s="64">
        <v>10.923</v>
      </c>
      <c r="H146" s="64">
        <f>12.386-4</f>
        <v>8.3859999999999992</v>
      </c>
      <c r="I146" s="64">
        <v>8.8349999999999991</v>
      </c>
      <c r="J146" s="65">
        <v>54030020006</v>
      </c>
      <c r="K146" s="68" t="s">
        <v>2443</v>
      </c>
      <c r="L146" s="68" t="s">
        <v>2444</v>
      </c>
      <c r="M146" s="22" t="s">
        <v>107</v>
      </c>
      <c r="N146" s="85" t="s">
        <v>373</v>
      </c>
      <c r="O146" s="73" t="s">
        <v>381</v>
      </c>
      <c r="P146" s="22" t="s">
        <v>1136</v>
      </c>
      <c r="Q146" s="22" t="s">
        <v>373</v>
      </c>
      <c r="R146" s="22">
        <v>16</v>
      </c>
      <c r="S146" s="21">
        <v>45</v>
      </c>
      <c r="T146" s="22">
        <v>16</v>
      </c>
      <c r="U146" s="21">
        <v>0</v>
      </c>
      <c r="V146" s="21">
        <v>12</v>
      </c>
      <c r="W146" s="21">
        <v>0</v>
      </c>
      <c r="X146" s="21">
        <v>0</v>
      </c>
      <c r="Y146" s="94">
        <v>6</v>
      </c>
      <c r="Z146" s="116">
        <v>12</v>
      </c>
      <c r="AA146" s="87">
        <v>0</v>
      </c>
      <c r="AB146" s="29">
        <v>0</v>
      </c>
      <c r="AC146" s="130">
        <v>200000000</v>
      </c>
      <c r="AD146" s="131">
        <v>108718560</v>
      </c>
      <c r="AE146" s="87">
        <f t="shared" si="2"/>
        <v>308718560</v>
      </c>
      <c r="AF146" s="30" t="s">
        <v>1139</v>
      </c>
    </row>
    <row r="147" spans="1:32" ht="55.2" x14ac:dyDescent="0.3">
      <c r="A147" s="169"/>
      <c r="B147" s="170">
        <v>0</v>
      </c>
      <c r="C147" s="171"/>
      <c r="D147" s="171">
        <v>0</v>
      </c>
      <c r="E147" s="64">
        <v>14.238000000000001</v>
      </c>
      <c r="F147" s="64">
        <v>0</v>
      </c>
      <c r="G147" s="64">
        <v>9.081999999999999</v>
      </c>
      <c r="H147" s="64">
        <f>10.882-1.7</f>
        <v>9.1820000000000004</v>
      </c>
      <c r="I147" s="64">
        <v>10.546999999999999</v>
      </c>
      <c r="J147" s="65">
        <v>54030020007</v>
      </c>
      <c r="K147" s="68" t="s">
        <v>2445</v>
      </c>
      <c r="L147" s="68" t="s">
        <v>2446</v>
      </c>
      <c r="M147" s="22" t="s">
        <v>107</v>
      </c>
      <c r="N147" s="85" t="s">
        <v>373</v>
      </c>
      <c r="O147" s="73" t="s">
        <v>381</v>
      </c>
      <c r="P147" s="22" t="s">
        <v>1137</v>
      </c>
      <c r="Q147" s="22" t="s">
        <v>373</v>
      </c>
      <c r="R147" s="22">
        <v>16</v>
      </c>
      <c r="S147" s="21">
        <v>45</v>
      </c>
      <c r="T147" s="22">
        <v>16</v>
      </c>
      <c r="U147" s="21">
        <v>30</v>
      </c>
      <c r="V147" s="21">
        <v>65</v>
      </c>
      <c r="W147" s="21">
        <v>50</v>
      </c>
      <c r="X147" s="21">
        <v>0</v>
      </c>
      <c r="Y147" s="94">
        <v>58</v>
      </c>
      <c r="Z147" s="116">
        <v>65</v>
      </c>
      <c r="AA147" s="87">
        <v>148090800</v>
      </c>
      <c r="AB147" s="29">
        <v>0</v>
      </c>
      <c r="AC147" s="130">
        <v>150000000</v>
      </c>
      <c r="AD147" s="131">
        <v>124909100</v>
      </c>
      <c r="AE147" s="87">
        <f t="shared" si="2"/>
        <v>422999900</v>
      </c>
      <c r="AF147" s="30" t="s">
        <v>1139</v>
      </c>
    </row>
    <row r="148" spans="1:32" ht="82.8" x14ac:dyDescent="0.3">
      <c r="A148" s="169"/>
      <c r="B148" s="170">
        <v>0</v>
      </c>
      <c r="C148" s="171"/>
      <c r="D148" s="171">
        <v>0</v>
      </c>
      <c r="E148" s="64">
        <v>0</v>
      </c>
      <c r="F148" s="64">
        <v>7.5020000000000007</v>
      </c>
      <c r="G148" s="64">
        <v>0</v>
      </c>
      <c r="H148" s="64">
        <v>0</v>
      </c>
      <c r="I148" s="64">
        <v>1.3679999999999999</v>
      </c>
      <c r="J148" s="65">
        <v>54030020008</v>
      </c>
      <c r="K148" s="68" t="s">
        <v>2447</v>
      </c>
      <c r="L148" s="68" t="s">
        <v>2448</v>
      </c>
      <c r="M148" s="22" t="s">
        <v>107</v>
      </c>
      <c r="N148" s="85" t="s">
        <v>373</v>
      </c>
      <c r="O148" s="73" t="s">
        <v>419</v>
      </c>
      <c r="P148" s="22" t="s">
        <v>1138</v>
      </c>
      <c r="Q148" s="22" t="s">
        <v>373</v>
      </c>
      <c r="R148" s="22">
        <v>11</v>
      </c>
      <c r="S148" s="21">
        <v>45</v>
      </c>
      <c r="T148" s="22">
        <v>16</v>
      </c>
      <c r="U148" s="21">
        <v>0</v>
      </c>
      <c r="V148" s="21">
        <v>1</v>
      </c>
      <c r="W148" s="21">
        <v>0</v>
      </c>
      <c r="X148" s="21">
        <v>1</v>
      </c>
      <c r="Y148" s="94">
        <v>0</v>
      </c>
      <c r="Z148" s="116">
        <v>0</v>
      </c>
      <c r="AA148" s="87">
        <v>0</v>
      </c>
      <c r="AB148" s="29">
        <v>39750000</v>
      </c>
      <c r="AC148" s="130">
        <v>0</v>
      </c>
      <c r="AD148" s="29">
        <v>0</v>
      </c>
      <c r="AE148" s="87">
        <f t="shared" si="2"/>
        <v>39750000</v>
      </c>
      <c r="AF148" s="30" t="s">
        <v>1141</v>
      </c>
    </row>
    <row r="149" spans="1:32" x14ac:dyDescent="0.3">
      <c r="AD149" s="54"/>
    </row>
    <row r="150" spans="1:32" x14ac:dyDescent="0.3">
      <c r="AD150" s="54"/>
    </row>
    <row r="153" spans="1:32" x14ac:dyDescent="0.3">
      <c r="AD153" s="54"/>
    </row>
    <row r="154" spans="1:32" x14ac:dyDescent="0.3">
      <c r="AD154" s="54"/>
    </row>
  </sheetData>
  <mergeCells count="44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23"/>
    <mergeCell ref="B8:B23"/>
    <mergeCell ref="C8:C19"/>
    <mergeCell ref="D8:D19"/>
    <mergeCell ref="C20:C23"/>
    <mergeCell ref="D20:D23"/>
    <mergeCell ref="A25:A126"/>
    <mergeCell ref="B25:B126"/>
    <mergeCell ref="C25:C70"/>
    <mergeCell ref="D25:D70"/>
    <mergeCell ref="C71:C95"/>
    <mergeCell ref="D71:D95"/>
    <mergeCell ref="C96:C115"/>
    <mergeCell ref="D96:D115"/>
    <mergeCell ref="C116:C126"/>
    <mergeCell ref="D116:D126"/>
    <mergeCell ref="A128:A148"/>
    <mergeCell ref="B128:B148"/>
    <mergeCell ref="C128:C140"/>
    <mergeCell ref="D128:D140"/>
    <mergeCell ref="C141:C148"/>
    <mergeCell ref="D141:D148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300-000000000000}">
          <x14:formula1>
            <xm:f>'C:\Users\diana\OneDrive\Documentos\TRABAJO 2020\PLAN DE DESARROLLO\[Ponderador total 2020-2023 V1 - corregido (2).xlsx]Hoja 1'!#REF!</xm:f>
          </x14:formula1>
          <xm:sqref>M20:M22 M25:M27 M68 M135 M137:M138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workbookViewId="0">
      <selection sqref="A1:C1"/>
    </sheetView>
  </sheetViews>
  <sheetFormatPr baseColWidth="10" defaultColWidth="11.44140625" defaultRowHeight="14.4" x14ac:dyDescent="0.3"/>
  <cols>
    <col min="1" max="1" width="9" style="12" customWidth="1"/>
    <col min="2" max="2" width="23.109375" style="12" customWidth="1"/>
    <col min="3" max="3" width="51.109375" style="12" customWidth="1"/>
    <col min="4" max="16384" width="11.44140625" style="12"/>
  </cols>
  <sheetData>
    <row r="1" spans="1:3" x14ac:dyDescent="0.3">
      <c r="A1" s="175" t="s">
        <v>63</v>
      </c>
      <c r="B1" s="175"/>
      <c r="C1" s="175"/>
    </row>
    <row r="2" spans="1:3" x14ac:dyDescent="0.3">
      <c r="A2" s="176" t="s">
        <v>13</v>
      </c>
      <c r="B2" s="176"/>
      <c r="C2" s="13" t="s">
        <v>14</v>
      </c>
    </row>
    <row r="3" spans="1:3" ht="30" customHeight="1" x14ac:dyDescent="0.3">
      <c r="A3" s="142" t="s">
        <v>49</v>
      </c>
      <c r="B3" s="143" t="s">
        <v>64</v>
      </c>
      <c r="C3" s="144" t="s">
        <v>78</v>
      </c>
    </row>
    <row r="4" spans="1:3" ht="28.8" x14ac:dyDescent="0.3">
      <c r="A4" s="142" t="s">
        <v>50</v>
      </c>
      <c r="B4" s="144" t="s">
        <v>2452</v>
      </c>
      <c r="C4" s="144" t="s">
        <v>79</v>
      </c>
    </row>
    <row r="5" spans="1:3" ht="28.8" x14ac:dyDescent="0.3">
      <c r="A5" s="142" t="s">
        <v>51</v>
      </c>
      <c r="B5" s="143" t="s">
        <v>65</v>
      </c>
      <c r="C5" s="144" t="s">
        <v>80</v>
      </c>
    </row>
    <row r="6" spans="1:3" ht="28.8" x14ac:dyDescent="0.3">
      <c r="A6" s="142" t="s">
        <v>15</v>
      </c>
      <c r="B6" s="144" t="s">
        <v>100</v>
      </c>
      <c r="C6" s="144" t="s">
        <v>2453</v>
      </c>
    </row>
    <row r="7" spans="1:3" ht="28.8" x14ac:dyDescent="0.3">
      <c r="A7" s="142" t="s">
        <v>16</v>
      </c>
      <c r="B7" s="143" t="s">
        <v>0</v>
      </c>
      <c r="C7" s="144" t="s">
        <v>17</v>
      </c>
    </row>
    <row r="8" spans="1:3" ht="28.8" x14ac:dyDescent="0.3">
      <c r="A8" s="142" t="s">
        <v>18</v>
      </c>
      <c r="B8" s="144" t="s">
        <v>9</v>
      </c>
      <c r="C8" s="144" t="s">
        <v>48</v>
      </c>
    </row>
    <row r="9" spans="1:3" ht="28.8" x14ac:dyDescent="0.3">
      <c r="A9" s="142" t="s">
        <v>20</v>
      </c>
      <c r="B9" s="144" t="s">
        <v>2454</v>
      </c>
      <c r="C9" s="144" t="s">
        <v>81</v>
      </c>
    </row>
    <row r="10" spans="1:3" ht="28.8" x14ac:dyDescent="0.3">
      <c r="A10" s="142" t="s">
        <v>23</v>
      </c>
      <c r="B10" s="144" t="s">
        <v>2455</v>
      </c>
      <c r="C10" s="144" t="s">
        <v>82</v>
      </c>
    </row>
    <row r="11" spans="1:3" ht="28.8" x14ac:dyDescent="0.3">
      <c r="A11" s="142" t="s">
        <v>26</v>
      </c>
      <c r="B11" s="144" t="s">
        <v>2456</v>
      </c>
      <c r="C11" s="144" t="s">
        <v>83</v>
      </c>
    </row>
    <row r="12" spans="1:3" ht="28.8" x14ac:dyDescent="0.3">
      <c r="A12" s="142" t="s">
        <v>28</v>
      </c>
      <c r="B12" s="144" t="s">
        <v>2457</v>
      </c>
      <c r="C12" s="144" t="s">
        <v>84</v>
      </c>
    </row>
    <row r="13" spans="1:3" ht="28.8" x14ac:dyDescent="0.3">
      <c r="A13" s="142" t="s">
        <v>30</v>
      </c>
      <c r="B13" s="144" t="s">
        <v>2458</v>
      </c>
      <c r="C13" s="144" t="s">
        <v>85</v>
      </c>
    </row>
    <row r="14" spans="1:3" x14ac:dyDescent="0.3">
      <c r="A14" s="142" t="s">
        <v>32</v>
      </c>
      <c r="B14" s="143" t="s">
        <v>3</v>
      </c>
      <c r="C14" s="143" t="s">
        <v>19</v>
      </c>
    </row>
    <row r="15" spans="1:3" ht="20.100000000000001" customHeight="1" x14ac:dyDescent="0.3">
      <c r="A15" s="142" t="s">
        <v>34</v>
      </c>
      <c r="B15" s="143" t="s">
        <v>21</v>
      </c>
      <c r="C15" s="143" t="s">
        <v>22</v>
      </c>
    </row>
    <row r="16" spans="1:3" ht="20.100000000000001" customHeight="1" x14ac:dyDescent="0.3">
      <c r="A16" s="142" t="s">
        <v>36</v>
      </c>
      <c r="B16" s="143" t="s">
        <v>24</v>
      </c>
      <c r="C16" s="143" t="s">
        <v>25</v>
      </c>
    </row>
    <row r="17" spans="1:3" ht="28.8" x14ac:dyDescent="0.3">
      <c r="A17" s="142" t="s">
        <v>38</v>
      </c>
      <c r="B17" s="143" t="s">
        <v>61</v>
      </c>
      <c r="C17" s="144" t="s">
        <v>62</v>
      </c>
    </row>
    <row r="18" spans="1:3" ht="20.100000000000001" customHeight="1" x14ac:dyDescent="0.3">
      <c r="A18" s="142" t="s">
        <v>39</v>
      </c>
      <c r="B18" s="143" t="s">
        <v>1</v>
      </c>
      <c r="C18" s="143" t="s">
        <v>27</v>
      </c>
    </row>
    <row r="19" spans="1:3" ht="20.100000000000001" customHeight="1" x14ac:dyDescent="0.3">
      <c r="A19" s="142" t="s">
        <v>40</v>
      </c>
      <c r="B19" s="143" t="s">
        <v>8</v>
      </c>
      <c r="C19" s="143" t="s">
        <v>29</v>
      </c>
    </row>
    <row r="20" spans="1:3" ht="20.100000000000001" customHeight="1" x14ac:dyDescent="0.3">
      <c r="A20" s="142" t="s">
        <v>41</v>
      </c>
      <c r="B20" s="143" t="s">
        <v>2</v>
      </c>
      <c r="C20" s="143" t="s">
        <v>31</v>
      </c>
    </row>
    <row r="21" spans="1:3" ht="20.100000000000001" customHeight="1" x14ac:dyDescent="0.3">
      <c r="A21" s="142" t="s">
        <v>42</v>
      </c>
      <c r="B21" s="143" t="s">
        <v>1</v>
      </c>
      <c r="C21" s="143" t="s">
        <v>33</v>
      </c>
    </row>
    <row r="22" spans="1:3" ht="20.100000000000001" customHeight="1" x14ac:dyDescent="0.3">
      <c r="A22" s="142" t="s">
        <v>43</v>
      </c>
      <c r="B22" s="143" t="s">
        <v>67</v>
      </c>
      <c r="C22" s="143" t="s">
        <v>86</v>
      </c>
    </row>
    <row r="23" spans="1:3" ht="20.100000000000001" customHeight="1" x14ac:dyDescent="0.3">
      <c r="A23" s="142" t="s">
        <v>44</v>
      </c>
      <c r="B23" s="143" t="s">
        <v>66</v>
      </c>
      <c r="C23" s="143" t="s">
        <v>87</v>
      </c>
    </row>
    <row r="24" spans="1:3" ht="20.100000000000001" customHeight="1" x14ac:dyDescent="0.3">
      <c r="A24" s="142" t="s">
        <v>45</v>
      </c>
      <c r="B24" s="144" t="s">
        <v>60</v>
      </c>
      <c r="C24" s="144" t="s">
        <v>88</v>
      </c>
    </row>
    <row r="25" spans="1:3" ht="43.2" x14ac:dyDescent="0.3">
      <c r="A25" s="142" t="s">
        <v>46</v>
      </c>
      <c r="B25" s="143" t="s">
        <v>101</v>
      </c>
      <c r="C25" s="144" t="s">
        <v>35</v>
      </c>
    </row>
    <row r="26" spans="1:3" ht="20.100000000000001" customHeight="1" x14ac:dyDescent="0.3">
      <c r="A26" s="142" t="s">
        <v>5</v>
      </c>
      <c r="B26" s="143" t="s">
        <v>12</v>
      </c>
      <c r="C26" s="144" t="s">
        <v>37</v>
      </c>
    </row>
    <row r="27" spans="1:3" ht="57.6" x14ac:dyDescent="0.3">
      <c r="A27" s="142" t="s">
        <v>47</v>
      </c>
      <c r="B27" s="143" t="s">
        <v>69</v>
      </c>
      <c r="C27" s="144" t="s">
        <v>92</v>
      </c>
    </row>
    <row r="28" spans="1:3" ht="57.6" x14ac:dyDescent="0.3">
      <c r="A28" s="142" t="s">
        <v>53</v>
      </c>
      <c r="B28" s="143" t="s">
        <v>70</v>
      </c>
      <c r="C28" s="144" t="s">
        <v>91</v>
      </c>
    </row>
    <row r="29" spans="1:3" ht="57.6" x14ac:dyDescent="0.3">
      <c r="A29" s="142" t="s">
        <v>54</v>
      </c>
      <c r="B29" s="143" t="s">
        <v>71</v>
      </c>
      <c r="C29" s="144" t="s">
        <v>93</v>
      </c>
    </row>
    <row r="30" spans="1:3" ht="57.6" x14ac:dyDescent="0.3">
      <c r="A30" s="142" t="s">
        <v>55</v>
      </c>
      <c r="B30" s="143" t="s">
        <v>72</v>
      </c>
      <c r="C30" s="144" t="s">
        <v>94</v>
      </c>
    </row>
    <row r="31" spans="1:3" ht="28.8" x14ac:dyDescent="0.3">
      <c r="A31" s="142" t="s">
        <v>56</v>
      </c>
      <c r="B31" s="143" t="s">
        <v>73</v>
      </c>
      <c r="C31" s="144" t="s">
        <v>95</v>
      </c>
    </row>
    <row r="32" spans="1:3" ht="28.8" x14ac:dyDescent="0.3">
      <c r="A32" s="142" t="s">
        <v>57</v>
      </c>
      <c r="B32" s="143" t="s">
        <v>74</v>
      </c>
      <c r="C32" s="144" t="s">
        <v>96</v>
      </c>
    </row>
    <row r="33" spans="1:3" ht="28.8" x14ac:dyDescent="0.3">
      <c r="A33" s="142" t="s">
        <v>58</v>
      </c>
      <c r="B33" s="143" t="s">
        <v>75</v>
      </c>
      <c r="C33" s="144" t="s">
        <v>97</v>
      </c>
    </row>
    <row r="34" spans="1:3" ht="28.8" x14ac:dyDescent="0.3">
      <c r="A34" s="142" t="s">
        <v>59</v>
      </c>
      <c r="B34" s="143" t="s">
        <v>76</v>
      </c>
      <c r="C34" s="144" t="s">
        <v>98</v>
      </c>
    </row>
    <row r="35" spans="1:3" ht="28.8" x14ac:dyDescent="0.3">
      <c r="A35" s="142" t="s">
        <v>59</v>
      </c>
      <c r="B35" s="143" t="s">
        <v>77</v>
      </c>
      <c r="C35" s="144" t="s">
        <v>99</v>
      </c>
    </row>
    <row r="36" spans="1:3" ht="20.100000000000001" customHeight="1" x14ac:dyDescent="0.3">
      <c r="A36" s="145" t="s">
        <v>90</v>
      </c>
      <c r="B36" s="17" t="s">
        <v>4</v>
      </c>
      <c r="C36" s="17" t="s">
        <v>89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51</vt:lpstr>
      <vt:lpstr>52</vt:lpstr>
      <vt:lpstr>53</vt:lpstr>
      <vt:lpstr>54</vt:lpstr>
      <vt:lpstr>Descripcion Cuadro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Guido Escobar M</cp:lastModifiedBy>
  <cp:lastPrinted>2016-12-15T14:38:09Z</cp:lastPrinted>
  <dcterms:created xsi:type="dcterms:W3CDTF">2012-05-22T17:15:35Z</dcterms:created>
  <dcterms:modified xsi:type="dcterms:W3CDTF">2023-07-31T02:00:23Z</dcterms:modified>
</cp:coreProperties>
</file>